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odegaard\Downloads\"/>
    </mc:Choice>
  </mc:AlternateContent>
  <xr:revisionPtr revIDLastSave="0" documentId="8_{6F6F4194-50C1-4504-A4ED-8438F1AC71F6}" xr6:coauthVersionLast="47" xr6:coauthVersionMax="47" xr10:uidLastSave="{00000000-0000-0000-0000-000000000000}"/>
  <bookViews>
    <workbookView xWindow="-120" yWindow="-120" windowWidth="29040" windowHeight="15720" tabRatio="500" xr2:uid="{00000000-000D-0000-FFFF-FFFF00000000}"/>
  </bookViews>
  <sheets>
    <sheet name="HSA Calculator" sheetId="1" r:id="rId1"/>
    <sheet name="Plan Data" sheetId="2" r:id="rId2"/>
    <sheet name="HSA Investmen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5" i="1" l="1"/>
  <c r="C15" i="3"/>
  <c r="D60" i="3"/>
  <c r="B60" i="3"/>
  <c r="D59" i="3"/>
  <c r="B59" i="3"/>
  <c r="D58" i="3"/>
  <c r="B58" i="3"/>
  <c r="D57" i="3"/>
  <c r="B57" i="3"/>
  <c r="D56" i="3"/>
  <c r="B56" i="3"/>
  <c r="D55" i="3"/>
  <c r="B55" i="3"/>
  <c r="D54" i="3"/>
  <c r="B54" i="3"/>
  <c r="D53" i="3"/>
  <c r="B53" i="3"/>
  <c r="D52" i="3"/>
  <c r="B52" i="3"/>
  <c r="D51" i="3"/>
  <c r="B51" i="3"/>
  <c r="D50" i="3"/>
  <c r="B50" i="3"/>
  <c r="D49" i="3"/>
  <c r="B49" i="3"/>
  <c r="D48" i="3"/>
  <c r="B48" i="3"/>
  <c r="D47" i="3"/>
  <c r="B47" i="3"/>
  <c r="D46" i="3"/>
  <c r="B46" i="3"/>
  <c r="D45" i="3"/>
  <c r="B45" i="3"/>
  <c r="D44" i="3"/>
  <c r="B44" i="3"/>
  <c r="D43" i="3"/>
  <c r="B43" i="3"/>
  <c r="D42" i="3"/>
  <c r="B42" i="3"/>
  <c r="D41" i="3"/>
  <c r="B41" i="3"/>
  <c r="D40" i="3"/>
  <c r="B40" i="3"/>
  <c r="D39" i="3"/>
  <c r="B39" i="3"/>
  <c r="D38" i="3"/>
  <c r="B38" i="3"/>
  <c r="D37" i="3"/>
  <c r="B37" i="3"/>
  <c r="D36" i="3"/>
  <c r="B36" i="3"/>
  <c r="D35" i="3"/>
  <c r="B35" i="3"/>
  <c r="D34" i="3"/>
  <c r="B34" i="3"/>
  <c r="D33" i="3"/>
  <c r="B33" i="3"/>
  <c r="D32" i="3"/>
  <c r="B32" i="3"/>
  <c r="D31" i="3"/>
  <c r="B31" i="3"/>
  <c r="D30" i="3"/>
  <c r="B30" i="3"/>
  <c r="D29" i="3"/>
  <c r="B29" i="3"/>
  <c r="D28" i="3"/>
  <c r="B28" i="3"/>
  <c r="D27" i="3"/>
  <c r="B27" i="3"/>
  <c r="D26" i="3"/>
  <c r="B26" i="3"/>
  <c r="D25" i="3"/>
  <c r="B25" i="3"/>
  <c r="D24" i="3"/>
  <c r="B24" i="3"/>
  <c r="D23" i="3"/>
  <c r="B23" i="3"/>
  <c r="D22" i="3"/>
  <c r="B22" i="3"/>
  <c r="D21" i="3"/>
  <c r="C21" i="3"/>
  <c r="B21" i="3"/>
  <c r="C16" i="3"/>
  <c r="C43" i="1"/>
  <c r="D43" i="1" s="1"/>
  <c r="D36" i="1"/>
  <c r="D35" i="1"/>
  <c r="G19" i="1"/>
  <c r="T18" i="1" s="1"/>
  <c r="C19" i="1"/>
  <c r="E18" i="1"/>
  <c r="G18" i="1" s="1"/>
  <c r="T17" i="1" s="1"/>
  <c r="C18" i="1"/>
  <c r="E17" i="1"/>
  <c r="G17" i="1" s="1"/>
  <c r="C17" i="1"/>
  <c r="T16" i="1"/>
  <c r="E16" i="1"/>
  <c r="G16" i="1" s="1"/>
  <c r="T15" i="1" s="1"/>
  <c r="C16" i="1"/>
  <c r="E15" i="1"/>
  <c r="G15" i="1" s="1"/>
  <c r="T14" i="1" s="1"/>
  <c r="S9" i="1"/>
  <c r="S6" i="1"/>
  <c r="S3" i="1"/>
  <c r="S2" i="1"/>
  <c r="S4" i="1" l="1"/>
  <c r="S7" i="1" s="1"/>
  <c r="S5" i="1"/>
  <c r="E29" i="1"/>
  <c r="D29" i="1"/>
  <c r="E32" i="1"/>
  <c r="D32" i="1"/>
  <c r="E31" i="1"/>
  <c r="D31" i="1"/>
  <c r="S11" i="1"/>
  <c r="L14" i="1" s="1"/>
  <c r="S8" i="1"/>
  <c r="M15" i="1" s="1"/>
  <c r="C25" i="1"/>
  <c r="C17" i="3"/>
  <c r="E21" i="3"/>
  <c r="F21" i="3" s="1"/>
  <c r="C22" i="3" s="1"/>
  <c r="F17" i="1" l="1"/>
  <c r="S16" i="1" s="1"/>
  <c r="F18" i="1"/>
  <c r="S17" i="1" s="1"/>
  <c r="F21" i="1"/>
  <c r="F19" i="1"/>
  <c r="S18" i="1" s="1"/>
  <c r="F22" i="1"/>
  <c r="F23" i="1"/>
  <c r="F24" i="1"/>
  <c r="K15" i="1"/>
  <c r="K14" i="1"/>
  <c r="F15" i="1"/>
  <c r="S14" i="1" s="1"/>
  <c r="F16" i="1"/>
  <c r="S15" i="1" s="1"/>
  <c r="M14" i="1"/>
  <c r="E22" i="3"/>
  <c r="F22" i="3" s="1"/>
  <c r="C23" i="3" s="1"/>
  <c r="G24" i="1"/>
  <c r="G23" i="1"/>
  <c r="G22" i="1"/>
  <c r="G21" i="1"/>
  <c r="L15" i="1"/>
  <c r="D30" i="1"/>
  <c r="E30" i="1"/>
  <c r="F25" i="1" l="1"/>
  <c r="D33" i="1" s="1"/>
  <c r="C42" i="1" s="1"/>
  <c r="S10" i="1"/>
  <c r="G25" i="1"/>
  <c r="E33" i="1" s="1"/>
  <c r="E34" i="1" s="1"/>
  <c r="E37" i="1" s="1"/>
  <c r="E23" i="3"/>
  <c r="F23" i="3" s="1"/>
  <c r="C24" i="3" s="1"/>
  <c r="D34" i="1" l="1"/>
  <c r="D37" i="1" s="1"/>
  <c r="C41" i="1" s="1"/>
  <c r="E24" i="3"/>
  <c r="F24" i="3" s="1"/>
  <c r="C25" i="3" s="1"/>
  <c r="C40" i="1" l="1"/>
  <c r="E25" i="3"/>
  <c r="F25" i="3" s="1"/>
  <c r="C26" i="3" s="1"/>
  <c r="E26" i="3" l="1"/>
  <c r="F26" i="3" s="1"/>
  <c r="C27" i="3" s="1"/>
  <c r="E27" i="3" l="1"/>
  <c r="F27" i="3" s="1"/>
  <c r="C28" i="3" s="1"/>
  <c r="E28" i="3" l="1"/>
  <c r="F28" i="3" s="1"/>
  <c r="C29" i="3" s="1"/>
  <c r="E29" i="3" l="1"/>
  <c r="F29" i="3" s="1"/>
  <c r="C30" i="3" s="1"/>
  <c r="E30" i="3" l="1"/>
  <c r="F30" i="3" s="1"/>
  <c r="C31" i="3" s="1"/>
  <c r="E31" i="3" l="1"/>
  <c r="F31" i="3" s="1"/>
  <c r="C32" i="3" s="1"/>
  <c r="E32" i="3" l="1"/>
  <c r="F32" i="3" s="1"/>
  <c r="C33" i="3" s="1"/>
  <c r="E33" i="3" l="1"/>
  <c r="F33" i="3" s="1"/>
  <c r="C34" i="3" s="1"/>
  <c r="E34" i="3" l="1"/>
  <c r="F34" i="3" s="1"/>
  <c r="C35" i="3" s="1"/>
  <c r="E35" i="3" l="1"/>
  <c r="F35" i="3" s="1"/>
  <c r="C36" i="3" s="1"/>
  <c r="E36" i="3" l="1"/>
  <c r="F36" i="3" s="1"/>
  <c r="C37" i="3" s="1"/>
  <c r="E37" i="3" l="1"/>
  <c r="F37" i="3" s="1"/>
  <c r="C38" i="3" s="1"/>
  <c r="E38" i="3" l="1"/>
  <c r="F38" i="3" s="1"/>
  <c r="C39" i="3" s="1"/>
  <c r="E39" i="3" l="1"/>
  <c r="F39" i="3" s="1"/>
  <c r="C40" i="3" s="1"/>
  <c r="E40" i="3" l="1"/>
  <c r="F40" i="3" s="1"/>
  <c r="C41" i="3" s="1"/>
  <c r="E41" i="3" l="1"/>
  <c r="F41" i="3" s="1"/>
  <c r="C42" i="3" s="1"/>
  <c r="E42" i="3" l="1"/>
  <c r="F42" i="3" s="1"/>
  <c r="C43" i="3" s="1"/>
  <c r="E43" i="3" l="1"/>
  <c r="F43" i="3" s="1"/>
  <c r="C44" i="3" s="1"/>
  <c r="E44" i="3" l="1"/>
  <c r="F44" i="3" s="1"/>
  <c r="C45" i="3" s="1"/>
  <c r="E45" i="3" l="1"/>
  <c r="F45" i="3" s="1"/>
  <c r="C46" i="3" s="1"/>
  <c r="E46" i="3" l="1"/>
  <c r="F46" i="3" s="1"/>
  <c r="C47" i="3" s="1"/>
  <c r="E47" i="3" l="1"/>
  <c r="F47" i="3" s="1"/>
  <c r="C48" i="3" s="1"/>
  <c r="E48" i="3" l="1"/>
  <c r="F48" i="3" s="1"/>
  <c r="C49" i="3" s="1"/>
  <c r="E49" i="3" l="1"/>
  <c r="F49" i="3" s="1"/>
  <c r="C50" i="3" s="1"/>
  <c r="E50" i="3" l="1"/>
  <c r="F50" i="3" s="1"/>
  <c r="C51" i="3" s="1"/>
  <c r="E51" i="3" l="1"/>
  <c r="F51" i="3" s="1"/>
  <c r="C52" i="3" s="1"/>
  <c r="E52" i="3" l="1"/>
  <c r="F52" i="3" s="1"/>
  <c r="C53" i="3" s="1"/>
  <c r="E53" i="3" l="1"/>
  <c r="F53" i="3" s="1"/>
  <c r="C54" i="3" s="1"/>
  <c r="E54" i="3" l="1"/>
  <c r="F54" i="3" s="1"/>
  <c r="C55" i="3" s="1"/>
  <c r="E55" i="3" l="1"/>
  <c r="F55" i="3" s="1"/>
  <c r="C56" i="3" s="1"/>
  <c r="E56" i="3" l="1"/>
  <c r="F56" i="3" s="1"/>
  <c r="C57" i="3" s="1"/>
  <c r="E57" i="3" l="1"/>
  <c r="F57" i="3" s="1"/>
  <c r="C58" i="3" s="1"/>
  <c r="E58" i="3" l="1"/>
  <c r="F58" i="3" s="1"/>
  <c r="C59" i="3" s="1"/>
  <c r="E59" i="3" l="1"/>
  <c r="F59" i="3" s="1"/>
  <c r="C60" i="3" s="1"/>
  <c r="E60" i="3" l="1"/>
  <c r="F60" i="3" s="1"/>
</calcChain>
</file>

<file path=xl/sharedStrings.xml><?xml version="1.0" encoding="utf-8"?>
<sst xmlns="http://schemas.openxmlformats.org/spreadsheetml/2006/main" count="218" uniqueCount="190">
  <si>
    <t>Helpers (auto)</t>
  </si>
  <si>
    <t xml:space="preserve">  Ames Construction — HSA vs. Traditional Plan Cost Calculator</t>
  </si>
  <si>
    <t>Bracket col</t>
  </si>
  <si>
    <t xml:space="preserve">  2026-2027 Plan Year. Blue = you edit. Grey = locked (plan design / national averages). Enter # visits; billed $ auto-fills from national averages.</t>
  </si>
  <si>
    <t>Basis</t>
  </si>
  <si>
    <t>Copay billed $ (HSA)</t>
  </si>
  <si>
    <t xml:space="preserve"> YOUR INPUTS</t>
  </si>
  <si>
    <t>Trad copay cost</t>
  </si>
  <si>
    <t>Salary bracket</t>
  </si>
  <si>
    <t>Under $100k</t>
  </si>
  <si>
    <t>Under $100k / $100-199k / $200k+</t>
  </si>
  <si>
    <t>Coinsurance billed $</t>
  </si>
  <si>
    <t>Coverage tier</t>
  </si>
  <si>
    <t>Employee Only</t>
  </si>
  <si>
    <t>Who you're covering</t>
  </si>
  <si>
    <t>Total billed $ (HSA)</t>
  </si>
  <si>
    <t>Your planned annual HSA contribution</t>
  </si>
  <si>
    <t>Your own pre-tax payroll contribution (excludes Ames seed). Max coworker contribution after Ames contribution is $2,900 individual/$5,750 family</t>
  </si>
  <si>
    <t>Trad deductible</t>
  </si>
  <si>
    <t>Are you 55 or older?</t>
  </si>
  <si>
    <t>No</t>
  </si>
  <si>
    <t>Adds $1,000 catch-up to your HSA limit</t>
  </si>
  <si>
    <t>Coinsurance rate</t>
  </si>
  <si>
    <t>Your marginal tax rate</t>
  </si>
  <si>
    <t>Fed + FICA + state — values the pre-tax benefit of premiums &amp; HSA</t>
  </si>
  <si>
    <t>Trad coinsurance cost</t>
  </si>
  <si>
    <t>HSA deductible</t>
  </si>
  <si>
    <t xml:space="preserve"> MEDICAL SPENDING — enter # visits (billed $ auto-fills); HSA &amp; Traditional member cost shown side by side</t>
  </si>
  <si>
    <t>DEDUCTIBLE MET  (you pay 100% until met, then 20%)</t>
  </si>
  <si>
    <t>Service type</t>
  </si>
  <si>
    <t>Annual billed $</t>
  </si>
  <si>
    <t># visits / scripts</t>
  </si>
  <si>
    <t>Copay $ each (Traditonal Plan)</t>
  </si>
  <si>
    <t>HSA cost (you pay)</t>
  </si>
  <si>
    <t>Traditional cost (you pay)</t>
  </si>
  <si>
    <t>How each plan treats it</t>
  </si>
  <si>
    <t>Plan</t>
  </si>
  <si>
    <t>Met so far</t>
  </si>
  <si>
    <t>Deductible</t>
  </si>
  <si>
    <t>Status</t>
  </si>
  <si>
    <t>Copay service</t>
  </si>
  <si>
    <t>HSA (you pay)</t>
  </si>
  <si>
    <t>Traditional (you pay)</t>
  </si>
  <si>
    <t>Preventive care</t>
  </si>
  <si>
    <t>—</t>
  </si>
  <si>
    <t>100% covered on BOTH plans — $0 to you</t>
  </si>
  <si>
    <t>Health Savings (HDHP)</t>
  </si>
  <si>
    <t>Primary care</t>
  </si>
  <si>
    <t>Primary care / office visits</t>
  </si>
  <si>
    <t>HSA: full billed via deductible, then 20%.  Trad: # visits × copay (skips deductible)</t>
  </si>
  <si>
    <t>Traditional</t>
  </si>
  <si>
    <t>Specialist</t>
  </si>
  <si>
    <t>Specialist visits</t>
  </si>
  <si>
    <t>Note: On Traditional, only coinsurance services (imaging/labs/surgery/hospital/ER-professional) count toward the deductible — flat copays skip it. On the HSA, every billed dollar counts.</t>
  </si>
  <si>
    <t>Urgent care</t>
  </si>
  <si>
    <t>Emergency room</t>
  </si>
  <si>
    <t>Emergency room (facility)</t>
  </si>
  <si>
    <t>HSA: full billed via deductible, then 20%.  Trad: # visits × $300 facility copay (skips deductible)</t>
  </si>
  <si>
    <t>Prescriptions</t>
  </si>
  <si>
    <t>Prescription drugs (Rx)</t>
  </si>
  <si>
    <t>HSA: billed via deductible, then copay.  Trad: # scripts × blended copay (skips deductible)</t>
  </si>
  <si>
    <t>Coinsurance services — deductible + 20% on BOTH plans (enter billed $)</t>
  </si>
  <si>
    <r>
      <rPr>
        <b/>
        <sz val="10"/>
        <color rgb="FF000000"/>
        <rFont val="Arial"/>
        <family val="2"/>
      </rPr>
      <t>Note:</t>
    </r>
    <r>
      <rPr>
        <sz val="10"/>
        <color rgb="FF000000"/>
        <rFont val="Arial"/>
        <family val="2"/>
      </rPr>
      <t xml:space="preserve"> The per-row "HSA cost (you pay)" splits the single $7,000 deductible across rows in the order listed (top to bottom), so an individual row's HSA figure depends on its position. Only the HSA total cost should be used to determine total OOP.
Family deductible is modeled as one combined amount. The plans actually use embedded individual limits, so if one person drives most of the spending your real HSA cost may be lower than shown.</t>
    </r>
  </si>
  <si>
    <t>Imaging / lab / diagnostics</t>
  </si>
  <si>
    <t>Both plans: billed via deductible + 20% coinsurance (HSA deductible is higher, so HSA cost is higher until it's met)</t>
  </si>
  <si>
    <t>Outpatient surgery</t>
  </si>
  <si>
    <t>Both plans: billed via deductible + 20% coinsurance</t>
  </si>
  <si>
    <t>Hospital / inpatient</t>
  </si>
  <si>
    <t>Ambulance / ER professional charges</t>
  </si>
  <si>
    <t>ER physician + ambulance: deductible + 20% on BOTH plans (separate from the $300 ER facility copay)</t>
  </si>
  <si>
    <t>TOTALS</t>
  </si>
  <si>
    <t>Billed | HSA cost | Traditional cost (member responsibility, pre-OOP-cap)</t>
  </si>
  <si>
    <t xml:space="preserve"> COST COMPARISON (Annual)</t>
  </si>
  <si>
    <t>⚠  IMPORTANT — TIMING OF COSTS</t>
  </si>
  <si>
    <t>Line item</t>
  </si>
  <si>
    <t>Traditional Plan</t>
  </si>
  <si>
    <t>Notes</t>
  </si>
  <si>
    <t>Annual premium (gross)</t>
  </si>
  <si>
    <t xml:space="preserve">The HSA/HDHP can require substantial out-of-pocket spending UPFRONT. You could pay the full billed cost of care until the $7,000 family deductible is met, BEFORE any premium or Ames provided HSA contribution.
A single large bill early in the year could mean paying thousands out of pocket first — even if the HSA is cheaper over the full year. Make sure you can cover the higher deductible from cash or your accumulated HSA balance.
</t>
  </si>
  <si>
    <t>Monthly premium × 12</t>
  </si>
  <si>
    <t>Less: premium tax savings (pre-tax)</t>
  </si>
  <si>
    <t>Premiums are payroll pre-tax on both plans → premium × tax rate</t>
  </si>
  <si>
    <t>Plan deductible (reference)</t>
  </si>
  <si>
    <t>Based on coverage tier</t>
  </si>
  <si>
    <t>Out-of-pocket maximum (reference)</t>
  </si>
  <si>
    <t>Caps your medical out-of-pocket</t>
  </si>
  <si>
    <t>Your medical out-of-pocket</t>
  </si>
  <si>
    <t>HSA: all billed $ via deductible+20%.  Trad: copays + coinsurance (= TOTALS).  Both capped at OOP max.</t>
  </si>
  <si>
    <t>Subtotal (after-tax premium + medical OOP)</t>
  </si>
  <si>
    <t>Less: Ames HSA seed (free money)</t>
  </si>
  <si>
    <t>$1,500 EE-only / $3,000 with dependents; yours &amp; rolls over</t>
  </si>
  <si>
    <t>Less: HSA tax savings on your contribution</t>
  </si>
  <si>
    <t>Your HSA contribution × marginal tax rate</t>
  </si>
  <si>
    <t>NET ANNUAL COST</t>
  </si>
  <si>
    <t xml:space="preserve"> BOTTOM LINE</t>
  </si>
  <si>
    <t>Cheaper plan for you</t>
  </si>
  <si>
    <t>You save</t>
  </si>
  <si>
    <t>Potential Ending HSA Balance</t>
  </si>
  <si>
    <t>If D43 states: Over 2026 limit, reduce contribution.  If negative - additional allowable HSA contributions may reduce your tax burden</t>
  </si>
  <si>
    <t>Allowable HSA verification</t>
  </si>
  <si>
    <t>• How to use: enter annual BILLED $ (drives the HSA cost) and # of visits/scripts (drives Traditional copays). Copay $ each = plan design amounts — edit RX if needed.</t>
  </si>
  <si>
    <t>• Traditional plan: office/specialist/urgent/ER/Rx are flat COPAYS = (# visits × copay $) and SKIP the deductible. 'Most Other Care' (imaging/labs/surgery/hospital) runs through the $2,000 deductible + 20% coinsurance.</t>
  </si>
  <si>
    <t>• HSA (HDHP): no copays for medical coverage. EVERY billed dollar runs through the single deductible first, then 20% coinsurance, up to the out-of-pocket max.</t>
  </si>
  <si>
    <t>• The Traditional cost column (F) includes BOTH copays and the coinsurance member cost, so the TOTALS row reconciles with the comparison table below.</t>
  </si>
  <si>
    <t>• Premiums on both plans are pre-tax, so each gets a tax shield. The Ames HSA seed ($1,500/$3,000) is free money that offsets costs and rolls over.</t>
  </si>
  <si>
    <t>• Note: HSA out-of-pocket is paid with tax-free HSA dollars — not credited here, so the real HSA advantage is slightly larger than shown.</t>
  </si>
  <si>
    <t>*This calculator is solely for illustrative purposes only and should not be relied upon in any way, nor should it be construed as an appraisal, legal, financial, tax, or other professional advice. Ames cannot guarantee accuracy of the results, the hypothetical entries selected by any participant, or its relevance to your specific circumstances.</t>
  </si>
  <si>
    <t>PLAN DATA — Ames Construction Health Benefits</t>
  </si>
  <si>
    <t>2026-2027 Plan Year — Effective October 1, 2026</t>
  </si>
  <si>
    <t>MONTHLY PREMIUMS — HEALTH SAVINGS PLAN (HDHP)</t>
  </si>
  <si>
    <t>Coverage Tier</t>
  </si>
  <si>
    <t>$100-199k</t>
  </si>
  <si>
    <t>$200k+</t>
  </si>
  <si>
    <t>Employee + Spouse</t>
  </si>
  <si>
    <t>Employee + Child(ren)</t>
  </si>
  <si>
    <t>Family</t>
  </si>
  <si>
    <t>MONTHLY PREMIUMS — TRADITIONAL PLAN</t>
  </si>
  <si>
    <t>PLAN DESIGN (In-Network)</t>
  </si>
  <si>
    <t>Metric</t>
  </si>
  <si>
    <t>Health Savings</t>
  </si>
  <si>
    <t>Deductible — Individual</t>
  </si>
  <si>
    <t>Deductible — Family</t>
  </si>
  <si>
    <t>Out-of-Pocket Max — Individual</t>
  </si>
  <si>
    <t>Out-of-Pocket Max — Family</t>
  </si>
  <si>
    <t>Coinsurance (member share after deductible)</t>
  </si>
  <si>
    <t>Ames HSA Seed — Employee Only</t>
  </si>
  <si>
    <t>Ames HSA Seed — With Dependents</t>
  </si>
  <si>
    <t>TRADITIONAL PLAN — OFFICE/FACILITY COPAYS (per plan design)</t>
  </si>
  <si>
    <t>Primary care copay</t>
  </si>
  <si>
    <t>Specialist copay</t>
  </si>
  <si>
    <t>Urgent care copay</t>
  </si>
  <si>
    <t>Emergency room copay (facility)</t>
  </si>
  <si>
    <t>NATIONAL AVERAGE BILLED $ PER VISIT (drives HSA billed estimate)</t>
  </si>
  <si>
    <t>Primary care / office visit</t>
  </si>
  <si>
    <t>Specialist visit</t>
  </si>
  <si>
    <t>Urgent care visit</t>
  </si>
  <si>
    <t>Emergency room (facility portion)</t>
  </si>
  <si>
    <t>Prescription (per script, blended)</t>
  </si>
  <si>
    <t>Sources: Zocdoc/Mira 2025-26 (PCP ~$171, UC ~$180), specialty blended ~$300, ER facility est. ~$1,900. Editable.</t>
  </si>
  <si>
    <t>TRADITIONAL PLAN — Rx COPAYS (per script)</t>
  </si>
  <si>
    <t>Tier</t>
  </si>
  <si>
    <t>30-day</t>
  </si>
  <si>
    <t>90-day</t>
  </si>
  <si>
    <t>Generic</t>
  </si>
  <si>
    <t>$10</t>
  </si>
  <si>
    <t>$30</t>
  </si>
  <si>
    <t>Formulary (preferred)</t>
  </si>
  <si>
    <t>$35</t>
  </si>
  <si>
    <t>$105</t>
  </si>
  <si>
    <t>Non-Formulary</t>
  </si>
  <si>
    <t>$60</t>
  </si>
  <si>
    <t>$180</t>
  </si>
  <si>
    <t>Specialty</t>
  </si>
  <si>
    <t>30%</t>
  </si>
  <si>
    <t>HSA plan: same Rx copays but only AFTER the deductible is met. Enter a blended per-script copay on the calculator.</t>
  </si>
  <si>
    <t>HSA CONTRIBUTION LIMITS (IRS — Calendar Year)</t>
  </si>
  <si>
    <t>Coverage</t>
  </si>
  <si>
    <t>2026 IRS Max</t>
  </si>
  <si>
    <t>Ames Seed</t>
  </si>
  <si>
    <t>You Can Add (2026)</t>
  </si>
  <si>
    <t>2027 IRS Max</t>
  </si>
  <si>
    <t>You Can Add (2027)</t>
  </si>
  <si>
    <t>With Dependents</t>
  </si>
  <si>
    <t>Age 55+ catch-up: add $1,000 to any of the above.</t>
  </si>
  <si>
    <t>This calculator is solely for illustrative purposes only and should not be relied upon in any way, nor should it be construed as an appraisal, legal, financial, tax, or other professional advice. Ames cannot guarantee accuracy of the results, the hypothetical entries selected by any participant, or its relevance to your specific circumstances.</t>
  </si>
  <si>
    <t xml:space="preserve">  HSA Investment Growth — Unused Dollars Compounded</t>
  </si>
  <si>
    <t>Leave unspent HSA dollars invested and they grow TAX-FREE. Adjust the blue inputs (up to 40 years).</t>
  </si>
  <si>
    <t>Note: HSA contributions/investing are available only on the Health Savings Plan (HDHP) — not the Traditional Plan.</t>
  </si>
  <si>
    <t xml:space="preserve"> INPUTS</t>
  </si>
  <si>
    <t>Annual amount invested (unused HSA)</t>
  </si>
  <si>
    <t>Put in $5,000, use $4,000 → invest $1,000. Override as needed.</t>
  </si>
  <si>
    <t>Starting HSA balance already invested</t>
  </si>
  <si>
    <t>Any HSA balance you've already built up</t>
  </si>
  <si>
    <t>Annual investment return rate</t>
  </si>
  <si>
    <t>Adjustable — long-run blended return assumption</t>
  </si>
  <si>
    <t>Years invested</t>
  </si>
  <si>
    <t>Investment horizon (1–40 years)</t>
  </si>
  <si>
    <t>Contribution timing</t>
  </si>
  <si>
    <t>Beginning</t>
  </si>
  <si>
    <t>Beginning = deposit earns that year's return (annuity-due). End = ordinary annuity.</t>
  </si>
  <si>
    <t xml:space="preserve"> RESULTS</t>
  </si>
  <si>
    <t>Total you contribute over the period</t>
  </si>
  <si>
    <t>Future value — HSA (tax-free growth)</t>
  </si>
  <si>
    <t>Investment gain (HSA)</t>
  </si>
  <si>
    <t>YEAR-BY-YEAR GROWTH (HSA, tax-free)</t>
  </si>
  <si>
    <t>Year</t>
  </si>
  <si>
    <t>Beginning balance</t>
  </si>
  <si>
    <t>Contribution</t>
  </si>
  <si>
    <t>Growth (tax-free)</t>
  </si>
  <si>
    <t>Ending 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</si>
</sst>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0.0%"/>
    <numFmt numFmtId="166" formatCode="\$#,##0.00;&quot;($&quot;#,##0.00\);\-"/>
  </numFmts>
  <fonts count="33" x14ac:knownFonts="1">
    <font>
      <sz val="11"/>
      <color theme="1"/>
      <name val="Calibri"/>
      <family val="2"/>
      <charset val="1"/>
    </font>
    <font>
      <b/>
      <sz val="9"/>
      <color rgb="FF404040"/>
      <name val="Arial"/>
      <family val="2"/>
    </font>
    <font>
      <b/>
      <sz val="16"/>
      <color rgb="FFFFFFFF"/>
      <name val="Arial"/>
      <family val="2"/>
    </font>
    <font>
      <sz val="8"/>
      <color rgb="FF404040"/>
      <name val="Arial"/>
      <family val="2"/>
    </font>
    <font>
      <i/>
      <sz val="9"/>
      <color rgb="FF404040"/>
      <name val="Arial"/>
      <family val="2"/>
    </font>
    <font>
      <b/>
      <sz val="11"/>
      <color rgb="FFFFFFFF"/>
      <name val="Arial"/>
      <family val="2"/>
    </font>
    <font>
      <b/>
      <sz val="10"/>
      <color rgb="FF000000"/>
      <name val="Arial"/>
      <family val="2"/>
    </font>
    <font>
      <b/>
      <sz val="10"/>
      <color rgb="FF0000FF"/>
      <name val="Arial"/>
      <family val="2"/>
    </font>
    <font>
      <i/>
      <sz val="8"/>
      <color rgb="FF404040"/>
      <name val="Arial"/>
      <family val="2"/>
    </font>
    <font>
      <b/>
      <sz val="10"/>
      <color rgb="FFFFFFFF"/>
      <name val="Arial"/>
      <family val="2"/>
    </font>
    <font>
      <b/>
      <sz val="9"/>
      <color rgb="FFFFFFFF"/>
      <name val="Arial"/>
      <family val="2"/>
    </font>
    <font>
      <b/>
      <sz val="8"/>
      <color rgb="FF404040"/>
      <name val="Arial"/>
      <family val="2"/>
    </font>
    <font>
      <sz val="10"/>
      <color rgb="FF000000"/>
      <name val="Arial"/>
      <family val="2"/>
    </font>
    <font>
      <b/>
      <sz val="9"/>
      <color rgb="FF000000"/>
      <name val="Arial"/>
      <family val="2"/>
    </font>
    <font>
      <sz val="9"/>
      <color rgb="FF000000"/>
      <name val="Arial"/>
      <family val="2"/>
    </font>
    <font>
      <sz val="8"/>
      <color rgb="FF000000"/>
      <name val="Arial"/>
      <family val="2"/>
    </font>
    <font>
      <b/>
      <sz val="11"/>
      <color rgb="FFF15D2F"/>
      <name val="Arial"/>
      <family val="2"/>
    </font>
    <font>
      <b/>
      <sz val="11"/>
      <color rgb="FF008000"/>
      <name val="Arial"/>
      <family val="2"/>
    </font>
    <font>
      <b/>
      <sz val="13"/>
      <color rgb="FFF15D2F"/>
      <name val="Arial"/>
      <family val="2"/>
    </font>
    <font>
      <sz val="11"/>
      <color rgb="FF000000"/>
      <name val="Arial"/>
      <family val="2"/>
      <charset val="1"/>
    </font>
    <font>
      <b/>
      <sz val="11"/>
      <color rgb="FF000000"/>
      <name val="Arial"/>
      <family val="2"/>
    </font>
    <font>
      <sz val="9"/>
      <color rgb="FF008000"/>
      <name val="Arial"/>
      <family val="2"/>
    </font>
    <font>
      <i/>
      <sz val="10"/>
      <color rgb="FF404040"/>
      <name val="Arial"/>
      <family val="2"/>
    </font>
    <font>
      <i/>
      <sz val="11"/>
      <color rgb="FF404040"/>
      <name val="Arial"/>
      <family val="2"/>
    </font>
    <font>
      <sz val="10"/>
      <color theme="1"/>
      <name val="Calibri"/>
      <family val="2"/>
      <charset val="1"/>
    </font>
    <font>
      <b/>
      <sz val="11"/>
      <color rgb="FF0000FF"/>
      <name val="Arial"/>
      <family val="2"/>
    </font>
    <font>
      <sz val="11"/>
      <color rgb="FF000000"/>
      <name val="Arial"/>
      <family val="2"/>
    </font>
    <font>
      <sz val="11"/>
      <color rgb="FF404040"/>
      <name val="Arial"/>
      <family val="2"/>
    </font>
    <font>
      <b/>
      <i/>
      <sz val="11"/>
      <color rgb="FFFFFFFF"/>
      <name val="Arial"/>
      <family val="2"/>
    </font>
    <font>
      <sz val="11"/>
      <color rgb="FF008000"/>
      <name val="Arial"/>
      <family val="2"/>
    </font>
    <font>
      <i/>
      <sz val="10"/>
      <name val="Arial"/>
      <family val="2"/>
    </font>
    <font>
      <i/>
      <sz val="8"/>
      <name val="Arial"/>
      <family val="2"/>
    </font>
    <font>
      <i/>
      <sz val="9"/>
      <name val="Arial"/>
      <family val="2"/>
    </font>
  </fonts>
  <fills count="12">
    <fill>
      <patternFill patternType="none"/>
    </fill>
    <fill>
      <patternFill patternType="gray125"/>
    </fill>
    <fill>
      <patternFill patternType="solid">
        <fgColor rgb="FFF15D2F"/>
        <bgColor rgb="FFFF8080"/>
      </patternFill>
    </fill>
    <fill>
      <patternFill patternType="solid">
        <fgColor rgb="FF404040"/>
        <bgColor rgb="FF333300"/>
      </patternFill>
    </fill>
    <fill>
      <patternFill patternType="solid">
        <fgColor rgb="FFF2F2F2"/>
        <bgColor rgb="FFEDEDED"/>
      </patternFill>
    </fill>
    <fill>
      <patternFill patternType="solid">
        <fgColor rgb="FFFFF2CC"/>
        <bgColor rgb="FFFDEADA"/>
      </patternFill>
    </fill>
    <fill>
      <patternFill patternType="solid">
        <fgColor rgb="FFEDEDED"/>
        <bgColor rgb="FFF2F2F2"/>
      </patternFill>
    </fill>
    <fill>
      <patternFill patternType="solid">
        <fgColor rgb="FFFFFFFF"/>
        <bgColor rgb="FFFFF3F0"/>
      </patternFill>
    </fill>
    <fill>
      <patternFill patternType="solid">
        <fgColor rgb="FFB03A1A"/>
        <bgColor rgb="FF993366"/>
      </patternFill>
    </fill>
    <fill>
      <patternFill patternType="solid">
        <fgColor theme="9" tint="0.79989013336588644"/>
        <bgColor rgb="FFFFF2CC"/>
      </patternFill>
    </fill>
    <fill>
      <patternFill patternType="solid">
        <fgColor theme="9" tint="0.79998168889431442"/>
        <bgColor rgb="FFFFF2CC"/>
      </patternFill>
    </fill>
    <fill>
      <patternFill patternType="solid">
        <fgColor theme="9" tint="0.79998168889431442"/>
        <bgColor rgb="FFF2F2F2"/>
      </patternFill>
    </fill>
  </fills>
  <borders count="9">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style="thin">
        <color rgb="FFBFBFBF"/>
      </left>
      <right/>
      <top style="thin">
        <color rgb="FFBFBFBF"/>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style="thin">
        <color rgb="FFBFBFBF"/>
      </right>
      <top/>
      <bottom style="thin">
        <color rgb="FFBFBFBF"/>
      </bottom>
      <diagonal/>
    </border>
  </borders>
  <cellStyleXfs count="1">
    <xf numFmtId="0" fontId="0" fillId="0" borderId="0"/>
  </cellStyleXfs>
  <cellXfs count="110">
    <xf numFmtId="0" fontId="0" fillId="0" borderId="0" xfId="0"/>
    <xf numFmtId="0" fontId="4" fillId="0" borderId="0" xfId="0" applyFont="1" applyAlignment="1">
      <alignment horizontal="left" vertical="center"/>
    </xf>
    <xf numFmtId="164" fontId="5" fillId="2" borderId="1" xfId="0" applyNumberFormat="1" applyFont="1" applyFill="1" applyBorder="1" applyAlignment="1" applyProtection="1">
      <alignment horizontal="center" vertical="center"/>
      <protection locked="0"/>
    </xf>
    <xf numFmtId="0" fontId="0" fillId="0" borderId="0" xfId="0" applyProtection="1">
      <protection locked="0"/>
    </xf>
    <xf numFmtId="0" fontId="1"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164" fontId="3" fillId="0" borderId="0" xfId="0" applyNumberFormat="1" applyFont="1" applyAlignment="1" applyProtection="1">
      <alignment horizontal="center" vertical="center"/>
      <protection locked="0"/>
    </xf>
    <xf numFmtId="0" fontId="5" fillId="3" borderId="0" xfId="0" applyFont="1" applyFill="1" applyAlignment="1" applyProtection="1">
      <alignment horizontal="left" vertical="center"/>
      <protection locked="0"/>
    </xf>
    <xf numFmtId="0" fontId="0" fillId="3" borderId="0" xfId="0" applyFill="1" applyProtection="1">
      <protection locked="0"/>
    </xf>
    <xf numFmtId="0" fontId="6" fillId="4" borderId="1" xfId="0" applyFont="1" applyFill="1" applyBorder="1" applyAlignment="1" applyProtection="1">
      <alignment horizontal="left" vertical="center"/>
      <protection locked="0"/>
    </xf>
    <xf numFmtId="0" fontId="8" fillId="0" borderId="0" xfId="0" applyFont="1" applyAlignment="1">
      <alignment horizontal="left" vertical="center"/>
    </xf>
    <xf numFmtId="165" fontId="3" fillId="0" borderId="0" xfId="0" applyNumberFormat="1" applyFont="1" applyAlignment="1" applyProtection="1">
      <alignment horizontal="center" vertical="center"/>
      <protection locked="0"/>
    </xf>
    <xf numFmtId="0" fontId="5" fillId="2" borderId="0" xfId="0" applyFont="1" applyFill="1" applyAlignment="1" applyProtection="1">
      <alignment horizontal="left" vertical="center"/>
      <protection locked="0"/>
    </xf>
    <xf numFmtId="0" fontId="0" fillId="2" borderId="0" xfId="0" applyFill="1" applyProtection="1">
      <protection locked="0"/>
    </xf>
    <xf numFmtId="0" fontId="11" fillId="0" borderId="0" xfId="0" applyFont="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164" fontId="15" fillId="0" borderId="0" xfId="0" applyNumberFormat="1" applyFont="1" applyAlignment="1" applyProtection="1">
      <alignment horizontal="left" vertical="center"/>
      <protection locked="0"/>
    </xf>
    <xf numFmtId="164" fontId="12" fillId="0" borderId="1"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0" fillId="2" borderId="1" xfId="0" applyFill="1" applyBorder="1" applyProtection="1">
      <protection locked="0"/>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pplyProtection="1">
      <alignment vertical="center" wrapText="1"/>
      <protection locked="0"/>
    </xf>
    <xf numFmtId="0" fontId="18" fillId="0" borderId="0" xfId="0" applyFont="1" applyAlignment="1">
      <alignment horizontal="left" vertical="center"/>
    </xf>
    <xf numFmtId="0" fontId="9" fillId="2" borderId="0" xfId="0" applyFont="1" applyFill="1" applyAlignment="1">
      <alignment horizontal="left" vertical="center"/>
    </xf>
    <xf numFmtId="0" fontId="0" fillId="2" borderId="0" xfId="0" applyFill="1"/>
    <xf numFmtId="0" fontId="10" fillId="3" borderId="1" xfId="0" applyFont="1" applyFill="1" applyBorder="1" applyAlignment="1">
      <alignment horizontal="center" vertical="center"/>
    </xf>
    <xf numFmtId="0" fontId="14" fillId="7" borderId="1" xfId="0" applyFont="1" applyFill="1" applyBorder="1" applyAlignment="1">
      <alignment horizontal="left" vertical="center"/>
    </xf>
    <xf numFmtId="166" fontId="14" fillId="7" borderId="1" xfId="0" applyNumberFormat="1" applyFont="1" applyFill="1" applyBorder="1" applyAlignment="1">
      <alignment horizontal="center" vertical="center"/>
    </xf>
    <xf numFmtId="0" fontId="14" fillId="4" borderId="1" xfId="0" applyFont="1" applyFill="1" applyBorder="1" applyAlignment="1">
      <alignment horizontal="left" vertical="center"/>
    </xf>
    <xf numFmtId="166" fontId="14" fillId="4" borderId="1" xfId="0" applyNumberFormat="1" applyFont="1" applyFill="1" applyBorder="1" applyAlignment="1">
      <alignment horizontal="center" vertical="center"/>
    </xf>
    <xf numFmtId="164" fontId="14" fillId="7" borderId="1" xfId="0" applyNumberFormat="1" applyFont="1" applyFill="1" applyBorder="1" applyAlignment="1">
      <alignment horizontal="center" vertical="center"/>
    </xf>
    <xf numFmtId="164" fontId="14" fillId="4" borderId="1" xfId="0" applyNumberFormat="1" applyFont="1" applyFill="1" applyBorder="1" applyAlignment="1">
      <alignment horizontal="center" vertical="center"/>
    </xf>
    <xf numFmtId="165" fontId="14" fillId="7" borderId="1" xfId="0" applyNumberFormat="1" applyFont="1" applyFill="1" applyBorder="1" applyAlignment="1">
      <alignment horizontal="center" vertical="center"/>
    </xf>
    <xf numFmtId="0" fontId="14" fillId="7" borderId="1" xfId="0" applyFont="1" applyFill="1" applyBorder="1" applyAlignment="1">
      <alignment horizontal="center" vertical="center"/>
    </xf>
    <xf numFmtId="0" fontId="14" fillId="4"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5" fillId="3" borderId="0" xfId="0" applyFont="1" applyFill="1" applyAlignment="1">
      <alignment horizontal="left" vertical="center"/>
    </xf>
    <xf numFmtId="0" fontId="0" fillId="3" borderId="0" xfId="0" applyFill="1"/>
    <xf numFmtId="0" fontId="6" fillId="4" borderId="1" xfId="0" applyFont="1" applyFill="1" applyBorder="1" applyAlignment="1">
      <alignment horizontal="left" vertical="center"/>
    </xf>
    <xf numFmtId="164" fontId="7" fillId="5" borderId="1" xfId="0" applyNumberFormat="1" applyFont="1" applyFill="1" applyBorder="1" applyAlignment="1">
      <alignment horizontal="center" vertical="center"/>
    </xf>
    <xf numFmtId="165" fontId="7" fillId="5" borderId="1" xfId="0" applyNumberFormat="1" applyFont="1" applyFill="1" applyBorder="1" applyAlignment="1">
      <alignment horizontal="center" vertical="center"/>
    </xf>
    <xf numFmtId="1"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5" fillId="2" borderId="0" xfId="0" applyFont="1" applyFill="1" applyAlignment="1">
      <alignment horizontal="left" vertical="center"/>
    </xf>
    <xf numFmtId="164" fontId="19" fillId="0" borderId="1" xfId="0" applyNumberFormat="1" applyFont="1" applyBorder="1" applyAlignment="1">
      <alignment horizontal="center" vertical="center"/>
    </xf>
    <xf numFmtId="164" fontId="20" fillId="0" borderId="1" xfId="0" applyNumberFormat="1" applyFont="1" applyBorder="1" applyAlignment="1">
      <alignment horizontal="center" vertical="center"/>
    </xf>
    <xf numFmtId="0" fontId="9" fillId="3" borderId="0" xfId="0" applyFont="1" applyFill="1" applyAlignment="1">
      <alignment horizontal="left" vertical="center"/>
    </xf>
    <xf numFmtId="0" fontId="14" fillId="0" borderId="1" xfId="0" applyFont="1" applyBorder="1" applyAlignment="1">
      <alignment horizontal="center" vertical="center"/>
    </xf>
    <xf numFmtId="164" fontId="14"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164" fontId="13" fillId="0" borderId="1" xfId="0" applyNumberFormat="1" applyFont="1" applyBorder="1" applyAlignment="1">
      <alignment horizontal="center" vertical="center"/>
    </xf>
    <xf numFmtId="0" fontId="14" fillId="0" borderId="0" xfId="0" applyFont="1" applyAlignment="1" applyProtection="1">
      <alignment horizontal="left" vertical="center"/>
      <protection locked="0"/>
    </xf>
    <xf numFmtId="0" fontId="22" fillId="0" borderId="0" xfId="0" applyFont="1" applyAlignment="1">
      <alignment horizontal="left" vertical="center"/>
    </xf>
    <xf numFmtId="0" fontId="24" fillId="3" borderId="0" xfId="0" applyFont="1" applyFill="1" applyProtection="1">
      <protection locked="0"/>
    </xf>
    <xf numFmtId="0" fontId="24" fillId="0" borderId="0" xfId="0" applyFont="1" applyProtection="1">
      <protection locked="0"/>
    </xf>
    <xf numFmtId="0" fontId="20" fillId="4" borderId="1" xfId="0" applyFont="1" applyFill="1" applyBorder="1" applyAlignment="1" applyProtection="1">
      <alignment horizontal="left" vertical="center"/>
      <protection locked="0"/>
    </xf>
    <xf numFmtId="0" fontId="25" fillId="5" borderId="1" xfId="0" applyFont="1" applyFill="1" applyBorder="1" applyAlignment="1" applyProtection="1">
      <alignment horizontal="center" vertical="center"/>
      <protection locked="0"/>
    </xf>
    <xf numFmtId="164" fontId="25" fillId="5" borderId="1" xfId="0" applyNumberFormat="1" applyFont="1" applyFill="1" applyBorder="1" applyAlignment="1" applyProtection="1">
      <alignment horizontal="center" vertical="center"/>
      <protection locked="0"/>
    </xf>
    <xf numFmtId="165" fontId="25" fillId="5" borderId="1"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left" vertical="center"/>
      <protection locked="0"/>
    </xf>
    <xf numFmtId="164" fontId="27" fillId="4" borderId="1" xfId="0" applyNumberFormat="1" applyFont="1" applyFill="1" applyBorder="1" applyAlignment="1" applyProtection="1">
      <alignment horizontal="center" vertical="center"/>
      <protection locked="0"/>
    </xf>
    <xf numFmtId="0" fontId="27" fillId="4" borderId="1" xfId="0" applyFont="1" applyFill="1" applyBorder="1" applyAlignment="1" applyProtection="1">
      <alignment horizontal="center" vertical="center"/>
      <protection locked="0"/>
    </xf>
    <xf numFmtId="0" fontId="23" fillId="4" borderId="1" xfId="0" applyFont="1" applyFill="1" applyBorder="1" applyAlignment="1" applyProtection="1">
      <alignment horizontal="left" vertical="center"/>
      <protection locked="0"/>
    </xf>
    <xf numFmtId="164" fontId="26" fillId="6" borderId="1" xfId="0" applyNumberFormat="1" applyFont="1" applyFill="1" applyBorder="1" applyAlignment="1">
      <alignment horizontal="center" vertical="center"/>
    </xf>
    <xf numFmtId="1" fontId="25" fillId="5" borderId="1" xfId="0" applyNumberFormat="1" applyFont="1" applyFill="1" applyBorder="1" applyAlignment="1" applyProtection="1">
      <alignment horizontal="center" vertical="center"/>
      <protection locked="0"/>
    </xf>
    <xf numFmtId="164" fontId="26" fillId="0" borderId="1" xfId="0" applyNumberFormat="1" applyFont="1" applyBorder="1" applyAlignment="1" applyProtection="1">
      <alignment horizontal="center" vertical="center"/>
      <protection locked="0"/>
    </xf>
    <xf numFmtId="0" fontId="26" fillId="7" borderId="1" xfId="0" applyFont="1" applyFill="1" applyBorder="1" applyAlignment="1" applyProtection="1">
      <alignment horizontal="left" vertical="center"/>
      <protection locked="0"/>
    </xf>
    <xf numFmtId="0" fontId="23" fillId="7" borderId="1" xfId="0" applyFont="1" applyFill="1" applyBorder="1" applyAlignment="1" applyProtection="1">
      <alignment horizontal="left" vertical="center"/>
      <protection locked="0"/>
    </xf>
    <xf numFmtId="0" fontId="28" fillId="3" borderId="0" xfId="0" applyFont="1" applyFill="1" applyAlignment="1" applyProtection="1">
      <alignment horizontal="left" vertical="center"/>
      <protection locked="0"/>
    </xf>
    <xf numFmtId="0" fontId="27" fillId="7" borderId="1" xfId="0" applyFont="1" applyFill="1" applyBorder="1" applyAlignment="1" applyProtection="1">
      <alignment horizontal="center" vertical="center"/>
      <protection locked="0"/>
    </xf>
    <xf numFmtId="164" fontId="20" fillId="4" borderId="1"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left" vertical="center"/>
      <protection locked="0"/>
    </xf>
    <xf numFmtId="0" fontId="5" fillId="3" borderId="1" xfId="0" applyFont="1" applyFill="1" applyBorder="1" applyAlignment="1" applyProtection="1">
      <alignment horizontal="center" vertical="center"/>
      <protection locked="0"/>
    </xf>
    <xf numFmtId="0" fontId="20" fillId="0" borderId="1" xfId="0" applyFont="1" applyBorder="1" applyAlignment="1" applyProtection="1">
      <alignment horizontal="left" vertical="center"/>
      <protection locked="0"/>
    </xf>
    <xf numFmtId="0" fontId="29" fillId="0" borderId="1" xfId="0" applyFont="1" applyBorder="1" applyAlignment="1" applyProtection="1">
      <alignment horizontal="left" vertical="center"/>
      <protection locked="0"/>
    </xf>
    <xf numFmtId="164" fontId="29" fillId="0" borderId="1" xfId="0" applyNumberFormat="1" applyFont="1" applyBorder="1" applyAlignment="1" applyProtection="1">
      <alignment horizontal="center" vertical="center"/>
      <protection locked="0"/>
    </xf>
    <xf numFmtId="0" fontId="26" fillId="0" borderId="1" xfId="0" applyFont="1" applyBorder="1" applyAlignment="1" applyProtection="1">
      <alignment horizontal="left" vertical="center"/>
      <protection locked="0"/>
    </xf>
    <xf numFmtId="164" fontId="27" fillId="0" borderId="1" xfId="0" applyNumberFormat="1" applyFont="1" applyBorder="1" applyAlignment="1" applyProtection="1">
      <alignment horizontal="center" vertical="center"/>
      <protection locked="0"/>
    </xf>
    <xf numFmtId="0" fontId="22" fillId="0" borderId="1" xfId="0" applyFont="1" applyBorder="1" applyAlignment="1" applyProtection="1">
      <alignment horizontal="left" vertical="center"/>
      <protection locked="0"/>
    </xf>
    <xf numFmtId="0" fontId="22" fillId="0" borderId="1" xfId="0" applyFont="1" applyBorder="1" applyAlignment="1" applyProtection="1">
      <alignment horizontal="left" vertical="center" wrapText="1"/>
      <protection locked="0"/>
    </xf>
    <xf numFmtId="0" fontId="22" fillId="0" borderId="0" xfId="0" applyFont="1" applyAlignment="1">
      <alignment vertical="center"/>
    </xf>
    <xf numFmtId="164" fontId="12" fillId="4" borderId="1" xfId="0" applyNumberFormat="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23" fillId="4" borderId="1" xfId="0" applyFont="1" applyFill="1" applyBorder="1" applyAlignment="1" applyProtection="1">
      <alignment horizontal="left" vertical="center" wrapText="1"/>
      <protection locked="0"/>
    </xf>
    <xf numFmtId="0" fontId="23" fillId="7" borderId="1" xfId="0" applyFont="1" applyFill="1" applyBorder="1" applyAlignment="1" applyProtection="1">
      <alignment horizontal="left" vertical="center" wrapText="1"/>
      <protection locked="0"/>
    </xf>
    <xf numFmtId="0" fontId="16" fillId="0" borderId="1" xfId="0" applyFont="1" applyBorder="1" applyAlignment="1" applyProtection="1">
      <alignment horizontal="center" vertical="center"/>
      <protection locked="0"/>
    </xf>
    <xf numFmtId="164" fontId="17" fillId="0" borderId="1" xfId="0" applyNumberFormat="1" applyFont="1" applyBorder="1" applyAlignment="1" applyProtection="1">
      <alignment horizontal="center" vertical="center"/>
      <protection locked="0"/>
    </xf>
    <xf numFmtId="0" fontId="30" fillId="0" borderId="0" xfId="0" applyFont="1" applyAlignment="1">
      <alignment horizontal="left" vertical="center" wrapText="1"/>
    </xf>
    <xf numFmtId="0" fontId="30" fillId="10" borderId="0" xfId="0" applyFont="1" applyFill="1" applyAlignment="1">
      <alignment horizontal="left" vertical="center" wrapText="1"/>
    </xf>
    <xf numFmtId="0" fontId="5" fillId="8" borderId="0" xfId="0" applyFont="1" applyFill="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12" fillId="11" borderId="3" xfId="0" applyFont="1" applyFill="1" applyBorder="1" applyAlignment="1" applyProtection="1">
      <alignment horizontal="center" vertical="top" wrapText="1"/>
      <protection locked="0"/>
    </xf>
    <xf numFmtId="0" fontId="12" fillId="11" borderId="4" xfId="0" applyFont="1" applyFill="1" applyBorder="1" applyAlignment="1" applyProtection="1">
      <alignment horizontal="center" vertical="top" wrapText="1"/>
      <protection locked="0"/>
    </xf>
    <xf numFmtId="0" fontId="12" fillId="11" borderId="5" xfId="0" applyFont="1" applyFill="1" applyBorder="1" applyAlignment="1" applyProtection="1">
      <alignment horizontal="center" vertical="top" wrapText="1"/>
      <protection locked="0"/>
    </xf>
    <xf numFmtId="0" fontId="12" fillId="11" borderId="6" xfId="0" applyFont="1" applyFill="1" applyBorder="1" applyAlignment="1" applyProtection="1">
      <alignment horizontal="center" vertical="top" wrapText="1"/>
      <protection locked="0"/>
    </xf>
    <xf numFmtId="0" fontId="12" fillId="11" borderId="7" xfId="0" applyFont="1" applyFill="1" applyBorder="1" applyAlignment="1" applyProtection="1">
      <alignment horizontal="center" vertical="top" wrapText="1"/>
      <protection locked="0"/>
    </xf>
    <xf numFmtId="0" fontId="12" fillId="11" borderId="8" xfId="0" applyFont="1" applyFill="1" applyBorder="1" applyAlignment="1" applyProtection="1">
      <alignment horizontal="center" vertical="top" wrapText="1"/>
      <protection locked="0"/>
    </xf>
    <xf numFmtId="0" fontId="2" fillId="2" borderId="0" xfId="0" applyFont="1" applyFill="1" applyAlignment="1" applyProtection="1">
      <alignment horizontal="left" vertical="center"/>
      <protection locked="0"/>
    </xf>
    <xf numFmtId="0" fontId="23" fillId="0" borderId="0" xfId="0" applyFont="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12" fillId="11" borderId="0" xfId="0" applyFont="1" applyFill="1" applyAlignment="1" applyProtection="1">
      <alignment horizontal="center" vertical="top" wrapText="1"/>
      <protection locked="0"/>
    </xf>
    <xf numFmtId="0" fontId="31" fillId="9" borderId="0" xfId="0" applyFont="1" applyFill="1" applyAlignment="1">
      <alignment horizontal="left" vertical="center" wrapText="1"/>
    </xf>
    <xf numFmtId="0" fontId="2" fillId="2" borderId="0" xfId="0" applyFont="1" applyFill="1" applyAlignment="1">
      <alignment horizontal="left" vertical="center"/>
    </xf>
    <xf numFmtId="0" fontId="32" fillId="0" borderId="0" xfId="0" applyFont="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DEDED"/>
      <rgbColor rgb="FFFFF3F0"/>
      <rgbColor rgb="FFFDEADA"/>
      <rgbColor rgb="FF99CCFF"/>
      <rgbColor rgb="FFFF99CC"/>
      <rgbColor rgb="FFCC99FF"/>
      <rgbColor rgb="FFFFCC99"/>
      <rgbColor rgb="FF3366FF"/>
      <rgbColor rgb="FF33CCCC"/>
      <rgbColor rgb="FF99CC00"/>
      <rgbColor rgb="FFFFCC00"/>
      <rgbColor rgb="FFFF9900"/>
      <rgbColor rgb="FFF15D2F"/>
      <rgbColor rgb="FF666699"/>
      <rgbColor rgb="FF969696"/>
      <rgbColor rgb="FF003366"/>
      <rgbColor rgb="FF339966"/>
      <rgbColor rgb="FF003300"/>
      <rgbColor rgb="FF333300"/>
      <rgbColor rgb="FFB03A1A"/>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4"/>
  <sheetViews>
    <sheetView showGridLines="0" tabSelected="1" zoomScale="85" zoomScaleNormal="85" workbookViewId="0">
      <selection activeCell="C22" sqref="C22"/>
    </sheetView>
  </sheetViews>
  <sheetFormatPr defaultColWidth="8.7109375" defaultRowHeight="15" x14ac:dyDescent="0.25"/>
  <cols>
    <col min="1" max="1" width="2" customWidth="1"/>
    <col min="2" max="2" width="41.28515625" customWidth="1"/>
    <col min="3" max="3" width="16" customWidth="1"/>
    <col min="4" max="5" width="20.28515625" customWidth="1"/>
    <col min="6" max="7" width="18.7109375" customWidth="1"/>
    <col min="8" max="8" width="87" customWidth="1"/>
    <col min="9" max="9" width="2" customWidth="1"/>
    <col min="10" max="10" width="23.140625" bestFit="1" customWidth="1"/>
    <col min="11" max="11" width="10.85546875" customWidth="1"/>
    <col min="12" max="12" width="12.7109375" customWidth="1"/>
    <col min="13" max="13" width="16.28515625" customWidth="1"/>
    <col min="18" max="18" width="22" hidden="1" customWidth="1"/>
    <col min="19" max="19" width="12" hidden="1" customWidth="1"/>
    <col min="20" max="20" width="16" hidden="1" customWidth="1"/>
  </cols>
  <sheetData>
    <row r="1" spans="1:21" x14ac:dyDescent="0.25">
      <c r="A1" s="3"/>
      <c r="B1" s="3"/>
      <c r="C1" s="3"/>
      <c r="D1" s="3"/>
      <c r="E1" s="3"/>
      <c r="F1" s="3"/>
      <c r="G1" s="3"/>
      <c r="H1" s="3"/>
      <c r="I1" s="3"/>
      <c r="J1" s="3"/>
      <c r="K1" s="3"/>
      <c r="L1" s="3"/>
      <c r="M1" s="3"/>
      <c r="N1" s="3"/>
      <c r="O1" s="3"/>
      <c r="P1" s="3"/>
      <c r="Q1" s="3"/>
      <c r="R1" s="4" t="s">
        <v>0</v>
      </c>
      <c r="S1" s="3"/>
      <c r="T1" s="3"/>
      <c r="U1" s="3"/>
    </row>
    <row r="2" spans="1:21" ht="25.5" customHeight="1" x14ac:dyDescent="0.25">
      <c r="A2" s="3"/>
      <c r="B2" s="102" t="s">
        <v>1</v>
      </c>
      <c r="C2" s="102"/>
      <c r="D2" s="102"/>
      <c r="E2" s="102"/>
      <c r="F2" s="102"/>
      <c r="G2" s="102"/>
      <c r="H2" s="3"/>
      <c r="I2" s="3"/>
      <c r="J2" s="3"/>
      <c r="K2" s="3"/>
      <c r="L2" s="3"/>
      <c r="M2" s="3"/>
      <c r="N2" s="3"/>
      <c r="O2" s="3"/>
      <c r="P2" s="3"/>
      <c r="Q2" s="3"/>
      <c r="R2" s="5" t="s">
        <v>2</v>
      </c>
      <c r="S2" s="6">
        <f>MATCH(C6,'Plan Data'!$B$5:$D$5,0)+1</f>
        <v>2</v>
      </c>
      <c r="T2" s="3"/>
      <c r="U2" s="3"/>
    </row>
    <row r="3" spans="1:21" x14ac:dyDescent="0.25">
      <c r="A3" s="3"/>
      <c r="B3" s="103" t="s">
        <v>3</v>
      </c>
      <c r="C3" s="103"/>
      <c r="D3" s="103"/>
      <c r="E3" s="103"/>
      <c r="F3" s="103"/>
      <c r="G3" s="103"/>
      <c r="H3" s="3"/>
      <c r="I3" s="3"/>
      <c r="J3" s="3"/>
      <c r="K3" s="3"/>
      <c r="L3" s="3"/>
      <c r="M3" s="3"/>
      <c r="N3" s="3"/>
      <c r="O3" s="3"/>
      <c r="P3" s="3"/>
      <c r="Q3" s="3"/>
      <c r="R3" s="5" t="s">
        <v>4</v>
      </c>
      <c r="S3" s="6" t="str">
        <f>IF(C7="Employee Only","Individual","Family")</f>
        <v>Individual</v>
      </c>
      <c r="T3" s="3"/>
      <c r="U3" s="3"/>
    </row>
    <row r="4" spans="1:21" x14ac:dyDescent="0.25">
      <c r="A4" s="3"/>
      <c r="B4" s="3"/>
      <c r="C4" s="3"/>
      <c r="D4" s="3"/>
      <c r="E4" s="3"/>
      <c r="F4" s="3"/>
      <c r="G4" s="3"/>
      <c r="H4" s="3"/>
      <c r="I4" s="3"/>
      <c r="J4" s="3"/>
      <c r="K4" s="3"/>
      <c r="L4" s="3"/>
      <c r="M4" s="3"/>
      <c r="N4" s="3"/>
      <c r="O4" s="3"/>
      <c r="P4" s="3"/>
      <c r="Q4" s="3"/>
      <c r="R4" s="5" t="s">
        <v>5</v>
      </c>
      <c r="S4" s="7">
        <f>SUM(C15:C19)</f>
        <v>780</v>
      </c>
      <c r="T4" s="3"/>
      <c r="U4" s="3"/>
    </row>
    <row r="5" spans="1:21" x14ac:dyDescent="0.25">
      <c r="A5" s="3"/>
      <c r="B5" s="8" t="s">
        <v>6</v>
      </c>
      <c r="C5" s="9"/>
      <c r="D5" s="9"/>
      <c r="E5" s="3"/>
      <c r="F5" s="3"/>
      <c r="G5" s="3"/>
      <c r="H5" s="3"/>
      <c r="I5" s="3"/>
      <c r="J5" s="3"/>
      <c r="K5" s="3"/>
      <c r="L5" s="3"/>
      <c r="M5" s="3"/>
      <c r="N5" s="3"/>
      <c r="O5" s="3"/>
      <c r="P5" s="3"/>
      <c r="Q5" s="3"/>
      <c r="R5" s="5" t="s">
        <v>7</v>
      </c>
      <c r="S5" s="7">
        <f>SUM(G15:G19)</f>
        <v>135</v>
      </c>
      <c r="T5" s="3"/>
      <c r="U5" s="3"/>
    </row>
    <row r="6" spans="1:21" x14ac:dyDescent="0.25">
      <c r="A6" s="3"/>
      <c r="B6" s="58" t="s">
        <v>8</v>
      </c>
      <c r="C6" s="59" t="s">
        <v>9</v>
      </c>
      <c r="D6" s="55" t="s">
        <v>10</v>
      </c>
      <c r="E6" s="3"/>
      <c r="F6" s="3"/>
      <c r="G6" s="3"/>
      <c r="H6" s="3"/>
      <c r="I6" s="3"/>
      <c r="J6" s="3"/>
      <c r="K6" s="3"/>
      <c r="L6" s="3"/>
      <c r="M6" s="3"/>
      <c r="N6" s="3"/>
      <c r="O6" s="3"/>
      <c r="P6" s="3"/>
      <c r="Q6" s="3"/>
      <c r="R6" s="5" t="s">
        <v>11</v>
      </c>
      <c r="S6" s="7">
        <f>SUM(C21:C24)</f>
        <v>750</v>
      </c>
      <c r="T6" s="3"/>
      <c r="U6" s="3"/>
    </row>
    <row r="7" spans="1:21" x14ac:dyDescent="0.25">
      <c r="A7" s="3"/>
      <c r="B7" s="58" t="s">
        <v>12</v>
      </c>
      <c r="C7" s="59" t="s">
        <v>13</v>
      </c>
      <c r="D7" s="55" t="s">
        <v>14</v>
      </c>
      <c r="E7" s="3"/>
      <c r="F7" s="3"/>
      <c r="G7" s="3"/>
      <c r="H7" s="3"/>
      <c r="I7" s="3"/>
      <c r="J7" s="3"/>
      <c r="K7" s="3"/>
      <c r="L7" s="3"/>
      <c r="M7" s="3"/>
      <c r="N7" s="3"/>
      <c r="O7" s="3"/>
      <c r="P7" s="3"/>
      <c r="Q7" s="3"/>
      <c r="R7" s="5" t="s">
        <v>15</v>
      </c>
      <c r="S7" s="7">
        <f>S4+S6</f>
        <v>1530</v>
      </c>
      <c r="T7" s="3"/>
      <c r="U7" s="3"/>
    </row>
    <row r="8" spans="1:21" x14ac:dyDescent="0.25">
      <c r="A8" s="3"/>
      <c r="B8" s="58" t="s">
        <v>16</v>
      </c>
      <c r="C8" s="60">
        <v>1500</v>
      </c>
      <c r="D8" s="55" t="s">
        <v>17</v>
      </c>
      <c r="E8" s="3"/>
      <c r="F8" s="3"/>
      <c r="G8" s="3"/>
      <c r="H8" s="3"/>
      <c r="I8" s="3"/>
      <c r="J8" s="3"/>
      <c r="K8" s="3"/>
      <c r="L8" s="3"/>
      <c r="M8" s="3"/>
      <c r="N8" s="3"/>
      <c r="O8" s="3"/>
      <c r="P8" s="3"/>
      <c r="Q8" s="3"/>
      <c r="R8" s="5" t="s">
        <v>18</v>
      </c>
      <c r="S8" s="7">
        <f>IF($S$3="Individual",INDEX('Plan Data'!$A$20:$C$26,MATCH("Deductible — Individual",'Plan Data'!$A$20:$A$26,0),3),INDEX('Plan Data'!$A$20:$C$26,MATCH("Deductible — Family",'Plan Data'!$A$20:$A$26,0),3))</f>
        <v>1000</v>
      </c>
      <c r="T8" s="3"/>
      <c r="U8" s="3"/>
    </row>
    <row r="9" spans="1:21" x14ac:dyDescent="0.25">
      <c r="A9" s="3"/>
      <c r="B9" s="58" t="s">
        <v>19</v>
      </c>
      <c r="C9" s="59" t="s">
        <v>20</v>
      </c>
      <c r="D9" s="55" t="s">
        <v>21</v>
      </c>
      <c r="E9" s="3"/>
      <c r="F9" s="3"/>
      <c r="G9" s="3"/>
      <c r="H9" s="3"/>
      <c r="I9" s="3"/>
      <c r="J9" s="3"/>
      <c r="K9" s="3"/>
      <c r="L9" s="3"/>
      <c r="M9" s="3"/>
      <c r="N9" s="3"/>
      <c r="O9" s="3"/>
      <c r="P9" s="3"/>
      <c r="Q9" s="3"/>
      <c r="R9" s="5" t="s">
        <v>22</v>
      </c>
      <c r="S9" s="12">
        <f>INDEX('Plan Data'!$A$20:$C$26,MATCH("Coinsurance (member share after deductible)",'Plan Data'!$A$20:$A$26,0),2)</f>
        <v>0.2</v>
      </c>
      <c r="T9" s="3"/>
      <c r="U9" s="3"/>
    </row>
    <row r="10" spans="1:21" x14ac:dyDescent="0.25">
      <c r="A10" s="3"/>
      <c r="B10" s="58" t="s">
        <v>23</v>
      </c>
      <c r="C10" s="61">
        <v>0.25</v>
      </c>
      <c r="D10" s="55" t="s">
        <v>24</v>
      </c>
      <c r="E10" s="3"/>
      <c r="F10" s="3"/>
      <c r="G10" s="3"/>
      <c r="H10" s="3"/>
      <c r="I10" s="3"/>
      <c r="J10" s="3"/>
      <c r="K10" s="3"/>
      <c r="L10" s="3"/>
      <c r="M10" s="3"/>
      <c r="N10" s="3"/>
      <c r="O10" s="3"/>
      <c r="P10" s="3"/>
      <c r="Q10" s="3"/>
      <c r="R10" s="5" t="s">
        <v>25</v>
      </c>
      <c r="S10" s="7">
        <f>SUM(G21:G24)</f>
        <v>750</v>
      </c>
      <c r="T10" s="3"/>
      <c r="U10" s="3"/>
    </row>
    <row r="11" spans="1:21" x14ac:dyDescent="0.25">
      <c r="A11" s="3"/>
      <c r="B11" s="3"/>
      <c r="C11" s="3"/>
      <c r="D11" s="3"/>
      <c r="E11" s="3"/>
      <c r="F11" s="3"/>
      <c r="G11" s="3"/>
      <c r="H11" s="3"/>
      <c r="I11" s="3"/>
      <c r="J11" s="3"/>
      <c r="K11" s="3"/>
      <c r="L11" s="3"/>
      <c r="M11" s="3"/>
      <c r="N11" s="3"/>
      <c r="O11" s="3"/>
      <c r="P11" s="3"/>
      <c r="Q11" s="3"/>
      <c r="R11" s="5" t="s">
        <v>26</v>
      </c>
      <c r="S11" s="7">
        <f>IF($S$3="Individual",INDEX('Plan Data'!$A$20:$C$26,MATCH("Deductible — Individual",'Plan Data'!$A$20:$A$26,0),2),INDEX('Plan Data'!$A$20:$C$26,MATCH("Deductible — Family",'Plan Data'!$A$20:$A$26,0),2))</f>
        <v>3500</v>
      </c>
      <c r="T11" s="3"/>
      <c r="U11" s="3"/>
    </row>
    <row r="12" spans="1:21" x14ac:dyDescent="0.25">
      <c r="A12" s="3"/>
      <c r="B12" s="13" t="s">
        <v>27</v>
      </c>
      <c r="C12" s="14"/>
      <c r="D12" s="14"/>
      <c r="E12" s="14"/>
      <c r="F12" s="14"/>
      <c r="G12" s="14"/>
      <c r="H12" s="14"/>
      <c r="I12" s="3"/>
      <c r="J12" s="104" t="s">
        <v>28</v>
      </c>
      <c r="K12" s="104"/>
      <c r="L12" s="104"/>
      <c r="M12" s="104"/>
      <c r="N12" s="3"/>
      <c r="O12" s="3"/>
      <c r="P12" s="3"/>
      <c r="Q12" s="3"/>
      <c r="R12" s="3"/>
      <c r="S12" s="3"/>
      <c r="T12" s="3"/>
      <c r="U12" s="3"/>
    </row>
    <row r="13" spans="1:21" ht="33.75" customHeight="1" x14ac:dyDescent="0.25">
      <c r="A13" s="3"/>
      <c r="B13" s="62" t="s">
        <v>29</v>
      </c>
      <c r="C13" s="62" t="s">
        <v>30</v>
      </c>
      <c r="D13" s="62" t="s">
        <v>31</v>
      </c>
      <c r="E13" s="62" t="s">
        <v>32</v>
      </c>
      <c r="F13" s="62" t="s">
        <v>33</v>
      </c>
      <c r="G13" s="62" t="s">
        <v>34</v>
      </c>
      <c r="H13" s="62" t="s">
        <v>35</v>
      </c>
      <c r="I13" s="3"/>
      <c r="J13" s="62" t="s">
        <v>36</v>
      </c>
      <c r="K13" s="62" t="s">
        <v>37</v>
      </c>
      <c r="L13" s="62" t="s">
        <v>38</v>
      </c>
      <c r="M13" s="62" t="s">
        <v>39</v>
      </c>
      <c r="N13" s="3"/>
      <c r="O13" s="3"/>
      <c r="P13" s="3"/>
      <c r="Q13" s="3"/>
      <c r="R13" s="15" t="s">
        <v>40</v>
      </c>
      <c r="S13" s="15" t="s">
        <v>41</v>
      </c>
      <c r="T13" s="15" t="s">
        <v>42</v>
      </c>
      <c r="U13" s="3"/>
    </row>
    <row r="14" spans="1:21" x14ac:dyDescent="0.25">
      <c r="A14" s="3"/>
      <c r="B14" s="63" t="s">
        <v>43</v>
      </c>
      <c r="C14" s="64">
        <v>0</v>
      </c>
      <c r="D14" s="65" t="s">
        <v>44</v>
      </c>
      <c r="E14" s="65" t="s">
        <v>44</v>
      </c>
      <c r="F14" s="64">
        <v>0</v>
      </c>
      <c r="G14" s="64">
        <v>0</v>
      </c>
      <c r="H14" s="66" t="s">
        <v>45</v>
      </c>
      <c r="I14" s="3"/>
      <c r="J14" s="10" t="s">
        <v>46</v>
      </c>
      <c r="K14" s="85">
        <f>MIN($S$7,$S$11)</f>
        <v>1530</v>
      </c>
      <c r="L14" s="85">
        <f>$S$11</f>
        <v>3500</v>
      </c>
      <c r="M14" s="86" t="str">
        <f>IF($S$7&gt;=$S$11,"✓ Met — now 20%","Paying 100%")</f>
        <v>Paying 100%</v>
      </c>
      <c r="N14" s="3"/>
      <c r="O14" s="3"/>
      <c r="P14" s="3"/>
      <c r="Q14" s="3"/>
      <c r="R14" s="5" t="s">
        <v>47</v>
      </c>
      <c r="S14" s="17">
        <f t="shared" ref="S14:T18" si="0">F15</f>
        <v>680</v>
      </c>
      <c r="T14" s="17">
        <f t="shared" si="0"/>
        <v>100</v>
      </c>
      <c r="U14" s="3"/>
    </row>
    <row r="15" spans="1:21" x14ac:dyDescent="0.25">
      <c r="A15" s="3"/>
      <c r="B15" s="63" t="s">
        <v>48</v>
      </c>
      <c r="C15" s="67">
        <f>'Plan Data'!B36*D15</f>
        <v>680</v>
      </c>
      <c r="D15" s="68">
        <v>4</v>
      </c>
      <c r="E15" s="67">
        <f>'Plan Data'!B29</f>
        <v>25</v>
      </c>
      <c r="F15" s="69">
        <f>IF(SUM($C$15:C15)&lt;=$S$11,SUM($C$15:C15),$S$11+$S$9*(SUM($C$15:C15)-$S$11))-IF(SUM($C$15:C15)-C15&lt;=$S$11,SUM($C$15:C15)-C15,$S$11+$S$9*(SUM($C$15:C15)-C15-$S$11))</f>
        <v>680</v>
      </c>
      <c r="G15" s="69">
        <f>D15*E15</f>
        <v>100</v>
      </c>
      <c r="H15" s="66" t="s">
        <v>49</v>
      </c>
      <c r="I15" s="3"/>
      <c r="J15" s="19" t="s">
        <v>50</v>
      </c>
      <c r="K15" s="18">
        <f>MIN($S$6,$S$8)</f>
        <v>750</v>
      </c>
      <c r="L15" s="18">
        <f>$S$8</f>
        <v>1000</v>
      </c>
      <c r="M15" s="87" t="str">
        <f>IF($S$6&gt;=$S$8,"✓ Met — now 20%","Paying 100%")</f>
        <v>Paying 100%</v>
      </c>
      <c r="N15" s="3"/>
      <c r="O15" s="3"/>
      <c r="P15" s="3"/>
      <c r="Q15" s="3"/>
      <c r="R15" s="5" t="s">
        <v>51</v>
      </c>
      <c r="S15" s="17">
        <f t="shared" si="0"/>
        <v>0</v>
      </c>
      <c r="T15" s="17">
        <f t="shared" si="0"/>
        <v>0</v>
      </c>
      <c r="U15" s="3"/>
    </row>
    <row r="16" spans="1:21" ht="49.5" customHeight="1" x14ac:dyDescent="0.25">
      <c r="A16" s="3"/>
      <c r="B16" s="70" t="s">
        <v>52</v>
      </c>
      <c r="C16" s="67">
        <f>'Plan Data'!B37*D16</f>
        <v>0</v>
      </c>
      <c r="D16" s="68">
        <v>0</v>
      </c>
      <c r="E16" s="67">
        <f>'Plan Data'!B30</f>
        <v>40</v>
      </c>
      <c r="F16" s="69">
        <f>IF(SUM($C$15:C16)&lt;=$S$11,SUM($C$15:C16),$S$11+$S$9*(SUM($C$15:C16)-$S$11))-IF(SUM($C$15:C16)-C16&lt;=$S$11,SUM($C$15:C16)-C16,$S$11+$S$9*(SUM($C$15:C16)-C16-$S$11))</f>
        <v>0</v>
      </c>
      <c r="G16" s="69">
        <f>D16*E16</f>
        <v>0</v>
      </c>
      <c r="H16" s="71" t="s">
        <v>49</v>
      </c>
      <c r="I16" s="57"/>
      <c r="J16" s="105" t="s">
        <v>53</v>
      </c>
      <c r="K16" s="105"/>
      <c r="L16" s="105"/>
      <c r="M16" s="105"/>
      <c r="N16" s="3"/>
      <c r="O16" s="3"/>
      <c r="P16" s="3"/>
      <c r="Q16" s="3"/>
      <c r="R16" s="5" t="s">
        <v>54</v>
      </c>
      <c r="S16" s="17">
        <f t="shared" si="0"/>
        <v>0</v>
      </c>
      <c r="T16" s="17">
        <f t="shared" si="0"/>
        <v>0</v>
      </c>
      <c r="U16" s="3"/>
    </row>
    <row r="17" spans="1:21" x14ac:dyDescent="0.25">
      <c r="A17" s="3"/>
      <c r="B17" s="63" t="s">
        <v>54</v>
      </c>
      <c r="C17" s="67">
        <f>'Plan Data'!B38*D17</f>
        <v>0</v>
      </c>
      <c r="D17" s="68">
        <v>0</v>
      </c>
      <c r="E17" s="67">
        <f>'Plan Data'!B31</f>
        <v>50</v>
      </c>
      <c r="F17" s="69">
        <f>IF(SUM($C$15:C17)&lt;=$S$11,SUM($C$15:C17),$S$11+$S$9*(SUM($C$15:C17)-$S$11))-IF(SUM($C$15:C17)-C17&lt;=$S$11,SUM($C$15:C17)-C17,$S$11+$S$9*(SUM($C$15:C17)-C17-$S$11))</f>
        <v>0</v>
      </c>
      <c r="G17" s="69">
        <f>D17*E17</f>
        <v>0</v>
      </c>
      <c r="H17" s="66" t="s">
        <v>49</v>
      </c>
      <c r="I17" s="57"/>
      <c r="J17" s="57"/>
      <c r="K17" s="57"/>
      <c r="L17" s="57"/>
      <c r="M17" s="57"/>
      <c r="N17" s="3"/>
      <c r="O17" s="3"/>
      <c r="P17" s="3"/>
      <c r="Q17" s="3"/>
      <c r="R17" s="5" t="s">
        <v>55</v>
      </c>
      <c r="S17" s="17">
        <f t="shared" si="0"/>
        <v>0</v>
      </c>
      <c r="T17" s="17">
        <f t="shared" si="0"/>
        <v>0</v>
      </c>
      <c r="U17" s="3"/>
    </row>
    <row r="18" spans="1:21" x14ac:dyDescent="0.25">
      <c r="A18" s="3"/>
      <c r="B18" s="70" t="s">
        <v>56</v>
      </c>
      <c r="C18" s="67">
        <f>'Plan Data'!B39*D18</f>
        <v>0</v>
      </c>
      <c r="D18" s="68">
        <v>0</v>
      </c>
      <c r="E18" s="67">
        <f>'Plan Data'!B32</f>
        <v>300</v>
      </c>
      <c r="F18" s="69">
        <f>IF(SUM($C$15:C18)&lt;=$S$11,SUM($C$15:C18),$S$11+$S$9*(SUM($C$15:C18)-$S$11))-IF(SUM($C$15:C18)-C18&lt;=$S$11,SUM($C$15:C18)-C18,$S$11+$S$9*(SUM($C$15:C18)-C18-$S$11))</f>
        <v>0</v>
      </c>
      <c r="G18" s="69">
        <f>D18*E18</f>
        <v>0</v>
      </c>
      <c r="H18" s="71" t="s">
        <v>57</v>
      </c>
      <c r="I18" s="57"/>
      <c r="J18" s="57"/>
      <c r="K18" s="57"/>
      <c r="L18" s="57"/>
      <c r="M18" s="57"/>
      <c r="N18" s="3"/>
      <c r="O18" s="3"/>
      <c r="P18" s="3"/>
      <c r="Q18" s="3"/>
      <c r="R18" s="5" t="s">
        <v>58</v>
      </c>
      <c r="S18" s="17">
        <f t="shared" si="0"/>
        <v>100</v>
      </c>
      <c r="T18" s="17">
        <f t="shared" si="0"/>
        <v>35</v>
      </c>
      <c r="U18" s="3"/>
    </row>
    <row r="19" spans="1:21" x14ac:dyDescent="0.25">
      <c r="A19" s="3"/>
      <c r="B19" s="63" t="s">
        <v>59</v>
      </c>
      <c r="C19" s="67">
        <f>'Plan Data'!B40*D19</f>
        <v>100</v>
      </c>
      <c r="D19" s="68">
        <v>1</v>
      </c>
      <c r="E19" s="60">
        <v>35</v>
      </c>
      <c r="F19" s="69">
        <f>IF(SUM($C$15:C19)&lt;=$S$11,SUM($C$15:C19),$S$11+$S$9*(SUM($C$15:C19)-$S$11))-IF(SUM($C$15:C19)-C19&lt;=$S$11,SUM($C$15:C19)-C19,$S$11+$S$9*(SUM($C$15:C19)-C19-$S$11))</f>
        <v>100</v>
      </c>
      <c r="G19" s="69">
        <f>D19*E19</f>
        <v>35</v>
      </c>
      <c r="H19" s="66" t="s">
        <v>60</v>
      </c>
      <c r="I19" s="57"/>
      <c r="J19" s="57"/>
      <c r="K19" s="57"/>
      <c r="L19" s="57"/>
      <c r="M19" s="57"/>
      <c r="N19" s="3"/>
      <c r="O19" s="3"/>
      <c r="P19" s="3"/>
      <c r="Q19" s="3"/>
      <c r="R19" s="3"/>
      <c r="S19" s="3"/>
      <c r="T19" s="3"/>
      <c r="U19" s="3"/>
    </row>
    <row r="20" spans="1:21" ht="15.75" customHeight="1" x14ac:dyDescent="0.25">
      <c r="A20" s="3"/>
      <c r="B20" s="72" t="s">
        <v>61</v>
      </c>
      <c r="C20" s="9"/>
      <c r="D20" s="9"/>
      <c r="E20" s="9"/>
      <c r="F20" s="9"/>
      <c r="G20" s="9"/>
      <c r="H20" s="56"/>
      <c r="I20" s="106" t="s">
        <v>62</v>
      </c>
      <c r="J20" s="106"/>
      <c r="K20" s="106"/>
      <c r="L20" s="106"/>
      <c r="M20" s="106"/>
      <c r="N20" s="3"/>
      <c r="O20" s="3"/>
      <c r="P20" s="3"/>
      <c r="Q20" s="3"/>
      <c r="R20" s="3"/>
      <c r="S20" s="3"/>
      <c r="T20" s="3"/>
      <c r="U20" s="3"/>
    </row>
    <row r="21" spans="1:21" ht="28.5" x14ac:dyDescent="0.25">
      <c r="A21" s="3"/>
      <c r="B21" s="63" t="s">
        <v>63</v>
      </c>
      <c r="C21" s="60">
        <v>750</v>
      </c>
      <c r="D21" s="65" t="s">
        <v>44</v>
      </c>
      <c r="E21" s="65" t="s">
        <v>44</v>
      </c>
      <c r="F21" s="69">
        <f>IF((SUM($C$15:$C$19)+SUM($C$21:C21))&lt;=$S$11,(SUM($C$15:$C$19)+SUM($C$21:C21)),$S$11+$S$9*((SUM($C$15:$C$19)+SUM($C$21:C21))-$S$11))-IF((SUM($C$15:$C$19)+SUM($C$21:C21))-C21&lt;=$S$11,(SUM($C$15:$C$19)+SUM($C$21:C21))-C21,$S$11+$S$9*((SUM($C$15:$C$19)+SUM($C$21:C21))-C21-$S$11))</f>
        <v>750</v>
      </c>
      <c r="G21" s="69">
        <f>IF(SUM($C$21:C21)&lt;=$S$8,SUM($C$21:C21),$S$8+$S$9*(SUM($C$21:C21)-$S$8))-IF((SUM($C$21:C21)-C21)&lt;=$S$8,(SUM($C$21:C21)-C21),$S$8+$S$9*((SUM($C$21:C21)-C21)-$S$8))</f>
        <v>750</v>
      </c>
      <c r="H21" s="88" t="s">
        <v>64</v>
      </c>
      <c r="I21" s="106"/>
      <c r="J21" s="106"/>
      <c r="K21" s="106"/>
      <c r="L21" s="106"/>
      <c r="M21" s="106"/>
      <c r="N21" s="3"/>
      <c r="O21" s="3"/>
      <c r="P21" s="3"/>
      <c r="Q21" s="3"/>
      <c r="R21" s="3"/>
      <c r="S21" s="3"/>
      <c r="T21" s="3"/>
      <c r="U21" s="3"/>
    </row>
    <row r="22" spans="1:21" ht="15" customHeight="1" x14ac:dyDescent="0.25">
      <c r="A22" s="3"/>
      <c r="B22" s="70" t="s">
        <v>65</v>
      </c>
      <c r="C22" s="60">
        <v>0</v>
      </c>
      <c r="D22" s="73" t="s">
        <v>44</v>
      </c>
      <c r="E22" s="73" t="s">
        <v>44</v>
      </c>
      <c r="F22" s="69">
        <f>IF((SUM($C$15:$C$19)+SUM($C$21:C22))&lt;=$S$11,(SUM($C$15:$C$19)+SUM($C$21:C22)),$S$11+$S$9*((SUM($C$15:$C$19)+SUM($C$21:C22))-$S$11))-IF((SUM($C$15:$C$19)+SUM($C$21:C22))-C22&lt;=$S$11,(SUM($C$15:$C$19)+SUM($C$21:C22))-C22,$S$11+$S$9*((SUM($C$15:$C$19)+SUM($C$21:C22))-C22-$S$11))</f>
        <v>0</v>
      </c>
      <c r="G22" s="69">
        <f>IF(SUM($C$21:C22)&lt;=$S$8,SUM($C$21:C22),$S$8+$S$9*(SUM($C$21:C22)-$S$8))-IF((SUM($C$21:C22)-C22)&lt;=$S$8,(SUM($C$21:C22)-C22),$S$8+$S$9*((SUM($C$21:C22)-C22)-$S$8))</f>
        <v>0</v>
      </c>
      <c r="H22" s="71" t="s">
        <v>66</v>
      </c>
      <c r="I22" s="106"/>
      <c r="J22" s="106"/>
      <c r="K22" s="106"/>
      <c r="L22" s="106"/>
      <c r="M22" s="106"/>
      <c r="N22" s="3"/>
      <c r="O22" s="3"/>
      <c r="P22" s="3"/>
      <c r="Q22" s="3"/>
      <c r="R22" s="3"/>
      <c r="S22" s="3"/>
      <c r="T22" s="3"/>
      <c r="U22" s="3"/>
    </row>
    <row r="23" spans="1:21" ht="15" customHeight="1" x14ac:dyDescent="0.25">
      <c r="A23" s="3"/>
      <c r="B23" s="63" t="s">
        <v>67</v>
      </c>
      <c r="C23" s="60">
        <v>0</v>
      </c>
      <c r="D23" s="65" t="s">
        <v>44</v>
      </c>
      <c r="E23" s="65" t="s">
        <v>44</v>
      </c>
      <c r="F23" s="69">
        <f>IF((SUM($C$15:$C$19)+SUM($C$21:C23))&lt;=$S$11,(SUM($C$15:$C$19)+SUM($C$21:C23)),$S$11+$S$9*((SUM($C$15:$C$19)+SUM($C$21:C23))-$S$11))-IF((SUM($C$15:$C$19)+SUM($C$21:C23))-C23&lt;=$S$11,(SUM($C$15:$C$19)+SUM($C$21:C23))-C23,$S$11+$S$9*((SUM($C$15:$C$19)+SUM($C$21:C23))-C23-$S$11))</f>
        <v>0</v>
      </c>
      <c r="G23" s="69">
        <f>IF(SUM($C$21:C23)&lt;=$S$8,SUM($C$21:C23),$S$8+$S$9*(SUM($C$21:C23)-$S$8))-IF((SUM($C$21:C23)-C23)&lt;=$S$8,(SUM($C$21:C23)-C23),$S$8+$S$9*((SUM($C$21:C23)-C23)-$S$8))</f>
        <v>0</v>
      </c>
      <c r="H23" s="66" t="s">
        <v>66</v>
      </c>
      <c r="I23" s="106"/>
      <c r="J23" s="106"/>
      <c r="K23" s="106"/>
      <c r="L23" s="106"/>
      <c r="M23" s="106"/>
      <c r="N23" s="3"/>
      <c r="O23" s="3"/>
      <c r="P23" s="3"/>
      <c r="Q23" s="3"/>
      <c r="R23" s="3"/>
      <c r="S23" s="3"/>
      <c r="T23" s="3"/>
      <c r="U23" s="3"/>
    </row>
    <row r="24" spans="1:21" ht="28.5" x14ac:dyDescent="0.25">
      <c r="A24" s="3"/>
      <c r="B24" s="70" t="s">
        <v>68</v>
      </c>
      <c r="C24" s="60">
        <v>0</v>
      </c>
      <c r="D24" s="73" t="s">
        <v>44</v>
      </c>
      <c r="E24" s="73" t="s">
        <v>44</v>
      </c>
      <c r="F24" s="69">
        <f>IF((SUM($C$15:$C$19)+SUM($C$21:C24))&lt;=$S$11,(SUM($C$15:$C$19)+SUM($C$21:C24)),$S$11+$S$9*((SUM($C$15:$C$19)+SUM($C$21:C24))-$S$11))-IF((SUM($C$15:$C$19)+SUM($C$21:C24))-C24&lt;=$S$11,(SUM($C$15:$C$19)+SUM($C$21:C24))-C24,$S$11+$S$9*((SUM($C$15:$C$19)+SUM($C$21:C24))-C24-$S$11))</f>
        <v>0</v>
      </c>
      <c r="G24" s="69">
        <f>IF(SUM($C$21:C24)&lt;=$S$8,SUM($C$21:C24),$S$8+$S$9*(SUM($C$21:C24)-$S$8))-IF((SUM($C$21:C24)-C24)&lt;=$S$8,(SUM($C$21:C24)-C24),$S$8+$S$9*((SUM($C$21:C24)-C24)-$S$8))</f>
        <v>0</v>
      </c>
      <c r="H24" s="89" t="s">
        <v>69</v>
      </c>
      <c r="I24" s="106"/>
      <c r="J24" s="106"/>
      <c r="K24" s="106"/>
      <c r="L24" s="106"/>
      <c r="M24" s="106"/>
      <c r="N24" s="3"/>
      <c r="O24" s="3"/>
      <c r="P24" s="3"/>
      <c r="Q24" s="3"/>
      <c r="R24" s="3"/>
      <c r="S24" s="3"/>
      <c r="T24" s="3"/>
      <c r="U24" s="3"/>
    </row>
    <row r="25" spans="1:21" ht="19.5" customHeight="1" x14ac:dyDescent="0.25">
      <c r="A25" s="3"/>
      <c r="B25" s="58" t="s">
        <v>70</v>
      </c>
      <c r="C25" s="74">
        <f>SUM(C15:C19)+SUM(C21:C24)</f>
        <v>1530</v>
      </c>
      <c r="D25" s="63"/>
      <c r="E25" s="63"/>
      <c r="F25" s="74">
        <f>SUM(F15:F19)+SUM(F21:F24)</f>
        <v>1530</v>
      </c>
      <c r="G25" s="74">
        <f>SUM(G15:G19)+SUM(G21:G24)</f>
        <v>885</v>
      </c>
      <c r="H25" s="66" t="s">
        <v>71</v>
      </c>
      <c r="I25" s="106"/>
      <c r="J25" s="106"/>
      <c r="K25" s="106"/>
      <c r="L25" s="106"/>
      <c r="M25" s="106"/>
      <c r="N25" s="3"/>
      <c r="O25" s="3"/>
      <c r="P25" s="3"/>
      <c r="Q25" s="3"/>
      <c r="R25" s="3"/>
      <c r="S25" s="3"/>
      <c r="T25" s="3"/>
      <c r="U25" s="3"/>
    </row>
    <row r="26" spans="1:21" x14ac:dyDescent="0.25">
      <c r="A26" s="3"/>
      <c r="B26" s="3"/>
      <c r="C26" s="3"/>
      <c r="D26" s="3"/>
      <c r="E26" s="3"/>
      <c r="F26" s="3"/>
      <c r="G26" s="3"/>
      <c r="H26" s="3"/>
      <c r="I26" s="3"/>
      <c r="J26" s="3"/>
      <c r="K26" s="3"/>
      <c r="L26" s="3"/>
      <c r="M26" s="3"/>
      <c r="N26" s="3"/>
      <c r="O26" s="3"/>
      <c r="P26" s="3"/>
      <c r="Q26" s="3"/>
      <c r="R26" s="3"/>
      <c r="S26" s="3"/>
      <c r="T26" s="3"/>
      <c r="U26" s="3"/>
    </row>
    <row r="27" spans="1:21" x14ac:dyDescent="0.25">
      <c r="A27" s="3"/>
      <c r="B27" s="13" t="s">
        <v>72</v>
      </c>
      <c r="C27" s="14"/>
      <c r="D27" s="14"/>
      <c r="E27" s="14"/>
      <c r="F27" s="94" t="s">
        <v>73</v>
      </c>
      <c r="G27" s="94"/>
      <c r="H27" s="14"/>
      <c r="I27" s="3"/>
      <c r="J27" s="3"/>
      <c r="K27" s="3"/>
      <c r="L27" s="3"/>
      <c r="M27" s="3"/>
      <c r="N27" s="3"/>
      <c r="O27" s="3"/>
      <c r="P27" s="3"/>
      <c r="Q27" s="3"/>
      <c r="R27" s="3"/>
      <c r="S27" s="3"/>
      <c r="T27" s="3"/>
      <c r="U27" s="3"/>
    </row>
    <row r="28" spans="1:21" ht="30" x14ac:dyDescent="0.25">
      <c r="A28" s="3"/>
      <c r="B28" s="75" t="s">
        <v>74</v>
      </c>
      <c r="C28" s="62"/>
      <c r="D28" s="62" t="s">
        <v>46</v>
      </c>
      <c r="E28" s="62" t="s">
        <v>75</v>
      </c>
      <c r="F28" s="95"/>
      <c r="G28" s="95"/>
      <c r="H28" s="76" t="s">
        <v>76</v>
      </c>
      <c r="I28" s="3"/>
      <c r="J28" s="3"/>
      <c r="K28" s="3"/>
      <c r="L28" s="3"/>
      <c r="M28" s="3"/>
      <c r="N28" s="3"/>
      <c r="O28" s="3"/>
      <c r="P28" s="3"/>
      <c r="Q28" s="3"/>
      <c r="R28" s="3"/>
      <c r="S28" s="3"/>
      <c r="T28" s="3"/>
      <c r="U28" s="3"/>
    </row>
    <row r="29" spans="1:21" ht="15" customHeight="1" x14ac:dyDescent="0.25">
      <c r="A29" s="3"/>
      <c r="B29" s="77" t="s">
        <v>77</v>
      </c>
      <c r="C29" s="69"/>
      <c r="D29" s="69">
        <f>(INDEX('Plan Data'!$A$6:$D$9,MATCH(C7,'Plan Data'!$A$6:$A$9,0),S2))*12</f>
        <v>324</v>
      </c>
      <c r="E29" s="69">
        <f>(INDEX('Plan Data'!$A$13:$D$16,MATCH(C7,'Plan Data'!$A$13:$A$16,0),S2))*12</f>
        <v>756</v>
      </c>
      <c r="F29" s="96" t="s">
        <v>78</v>
      </c>
      <c r="G29" s="97"/>
      <c r="H29" s="82" t="s">
        <v>79</v>
      </c>
      <c r="I29" s="3"/>
      <c r="J29" s="3"/>
      <c r="K29" s="3"/>
      <c r="L29" s="3"/>
      <c r="M29" s="3"/>
      <c r="N29" s="3"/>
      <c r="O29" s="3"/>
      <c r="P29" s="3"/>
      <c r="Q29" s="3"/>
      <c r="R29" s="3"/>
      <c r="S29" s="3"/>
      <c r="T29" s="3"/>
      <c r="U29" s="3"/>
    </row>
    <row r="30" spans="1:21" x14ac:dyDescent="0.25">
      <c r="A30" s="3"/>
      <c r="B30" s="78" t="s">
        <v>80</v>
      </c>
      <c r="C30" s="79"/>
      <c r="D30" s="79">
        <f>-D29*C10</f>
        <v>-81</v>
      </c>
      <c r="E30" s="79">
        <f>-E29*C10</f>
        <v>-189</v>
      </c>
      <c r="F30" s="98"/>
      <c r="G30" s="99"/>
      <c r="H30" s="82" t="s">
        <v>81</v>
      </c>
      <c r="I30" s="3"/>
      <c r="J30" s="3"/>
      <c r="K30" s="3"/>
      <c r="L30" s="3"/>
      <c r="M30" s="3"/>
      <c r="N30" s="3"/>
      <c r="O30" s="3"/>
      <c r="P30" s="3"/>
      <c r="Q30" s="3"/>
      <c r="R30" s="3"/>
      <c r="S30" s="3"/>
      <c r="T30" s="3"/>
      <c r="U30" s="3"/>
    </row>
    <row r="31" spans="1:21" ht="15" hidden="1" customHeight="1" x14ac:dyDescent="0.25">
      <c r="A31" s="3"/>
      <c r="B31" s="80" t="s">
        <v>82</v>
      </c>
      <c r="C31" s="81"/>
      <c r="D31" s="81">
        <f>IF(S3="Individual",INDEX('Plan Data'!$A$20:$C$26,MATCH("Deductible — Individual",'Plan Data'!$A$20:$A$26,0),2),INDEX('Plan Data'!$A$20:$C$26,MATCH("Deductible — Family",'Plan Data'!$A$20:$A$26,0),2))</f>
        <v>3500</v>
      </c>
      <c r="E31" s="81">
        <f>IF(S3="Individual",INDEX('Plan Data'!$A$20:$C$26,MATCH("Deductible — Individual",'Plan Data'!$A$20:$A$26,0),3),INDEX('Plan Data'!$A$20:$C$26,MATCH("Deductible — Family",'Plan Data'!$A$20:$A$26,0),3))</f>
        <v>1000</v>
      </c>
      <c r="F31" s="98"/>
      <c r="G31" s="99"/>
      <c r="H31" s="82" t="s">
        <v>83</v>
      </c>
      <c r="I31" s="3"/>
      <c r="J31" s="3"/>
      <c r="K31" s="3"/>
      <c r="L31" s="3"/>
      <c r="M31" s="3"/>
      <c r="N31" s="3"/>
      <c r="O31" s="3"/>
      <c r="P31" s="3"/>
      <c r="Q31" s="3"/>
      <c r="R31" s="3"/>
      <c r="S31" s="3"/>
      <c r="T31" s="3"/>
      <c r="U31" s="3"/>
    </row>
    <row r="32" spans="1:21" ht="15" hidden="1" customHeight="1" x14ac:dyDescent="0.25">
      <c r="A32" s="3"/>
      <c r="B32" s="80" t="s">
        <v>84</v>
      </c>
      <c r="C32" s="81"/>
      <c r="D32" s="81">
        <f>IF(S3="Individual",INDEX('Plan Data'!$A$20:$C$26,MATCH("Out-of-Pocket Max — Individual",'Plan Data'!$A$20:$A$26,0),2),INDEX('Plan Data'!$A$20:$C$26,MATCH("Out-of-Pocket Max — Family",'Plan Data'!$A$20:$A$26,0),2))</f>
        <v>5000</v>
      </c>
      <c r="E32" s="81">
        <f>IF(S3="Individual",INDEX('Plan Data'!$A$20:$C$26,MATCH("Out-of-Pocket Max — Individual",'Plan Data'!$A$20:$A$26,0),3),INDEX('Plan Data'!$A$20:$C$26,MATCH("Out-of-Pocket Max — Family",'Plan Data'!$A$20:$A$26,0),3))</f>
        <v>3000</v>
      </c>
      <c r="F32" s="98"/>
      <c r="G32" s="99"/>
      <c r="H32" s="82" t="s">
        <v>85</v>
      </c>
      <c r="I32" s="3"/>
      <c r="J32" s="3"/>
      <c r="K32" s="3"/>
      <c r="L32" s="3"/>
      <c r="M32" s="3"/>
      <c r="N32" s="3"/>
      <c r="O32" s="3"/>
      <c r="P32" s="3"/>
      <c r="Q32" s="3"/>
      <c r="R32" s="3"/>
      <c r="S32" s="3"/>
      <c r="T32" s="3"/>
      <c r="U32" s="3"/>
    </row>
    <row r="33" spans="1:21" ht="31.5" customHeight="1" x14ac:dyDescent="0.25">
      <c r="A33" s="3"/>
      <c r="B33" s="77" t="s">
        <v>86</v>
      </c>
      <c r="C33" s="69"/>
      <c r="D33" s="69">
        <f>MIN(IF(S3="Individual",INDEX('Plan Data'!$A$20:$C$26,MATCH("Out-of-Pocket Max — Individual",'Plan Data'!$A$20:$A$26,0),2),INDEX('Plan Data'!$A$20:$C$26,MATCH("Out-of-Pocket Max — Family",'Plan Data'!$A$20:$A$26,0),2)),F25)</f>
        <v>1530</v>
      </c>
      <c r="E33" s="69">
        <f>MIN(IF(S3="Individual",INDEX('Plan Data'!$A$20:$C$26,MATCH("Out-of-Pocket Max — Individual",'Plan Data'!$A$20:$A$26,0),3),INDEX('Plan Data'!$A$20:$C$26,MATCH("Out-of-Pocket Max — Family",'Plan Data'!$A$20:$A$26,0),3)),G25)</f>
        <v>885</v>
      </c>
      <c r="F33" s="98"/>
      <c r="G33" s="99"/>
      <c r="H33" s="83" t="s">
        <v>87</v>
      </c>
      <c r="I33" s="3"/>
      <c r="J33" s="3"/>
      <c r="K33" s="3"/>
      <c r="L33" s="3"/>
      <c r="M33" s="3"/>
      <c r="N33" s="3"/>
      <c r="O33" s="3"/>
      <c r="P33" s="3"/>
      <c r="Q33" s="3"/>
      <c r="R33" s="3"/>
      <c r="S33" s="3"/>
      <c r="T33" s="3"/>
      <c r="U33" s="3"/>
    </row>
    <row r="34" spans="1:21" ht="31.5" customHeight="1" x14ac:dyDescent="0.25">
      <c r="A34" s="3"/>
      <c r="B34" s="58" t="s">
        <v>88</v>
      </c>
      <c r="C34" s="74"/>
      <c r="D34" s="74">
        <f>D29+D30+D33</f>
        <v>1773</v>
      </c>
      <c r="E34" s="74">
        <f>E29+E30+E33</f>
        <v>1452</v>
      </c>
      <c r="F34" s="98"/>
      <c r="G34" s="99"/>
      <c r="H34" s="16"/>
      <c r="I34" s="3"/>
      <c r="J34" s="3"/>
      <c r="K34" s="3"/>
      <c r="L34" s="3"/>
      <c r="M34" s="3"/>
      <c r="N34" s="3"/>
      <c r="O34" s="3"/>
      <c r="P34" s="3"/>
      <c r="Q34" s="3"/>
      <c r="R34" s="3"/>
      <c r="S34" s="3"/>
      <c r="T34" s="3"/>
      <c r="U34" s="3"/>
    </row>
    <row r="35" spans="1:21" x14ac:dyDescent="0.25">
      <c r="A35" s="3"/>
      <c r="B35" s="78" t="s">
        <v>89</v>
      </c>
      <c r="C35" s="79"/>
      <c r="D35" s="79">
        <f>-IF(C7="Employee Only",'Plan Data'!$B$25,'Plan Data'!$B$26)</f>
        <v>-1500</v>
      </c>
      <c r="E35" s="79">
        <v>0</v>
      </c>
      <c r="F35" s="98"/>
      <c r="G35" s="99"/>
      <c r="H35" s="82" t="s">
        <v>90</v>
      </c>
      <c r="I35" s="3"/>
      <c r="J35" s="3"/>
      <c r="K35" s="3"/>
      <c r="L35" s="3"/>
      <c r="M35" s="3"/>
      <c r="N35" s="3"/>
      <c r="O35" s="3"/>
      <c r="P35" s="3"/>
      <c r="Q35" s="3"/>
      <c r="R35" s="3"/>
      <c r="S35" s="3"/>
      <c r="T35" s="3"/>
      <c r="U35" s="3"/>
    </row>
    <row r="36" spans="1:21" x14ac:dyDescent="0.25">
      <c r="A36" s="3"/>
      <c r="B36" s="78" t="s">
        <v>91</v>
      </c>
      <c r="C36" s="79"/>
      <c r="D36" s="79">
        <f>-C8*C10</f>
        <v>-375</v>
      </c>
      <c r="E36" s="79">
        <v>0</v>
      </c>
      <c r="F36" s="98"/>
      <c r="G36" s="99"/>
      <c r="H36" s="82" t="s">
        <v>92</v>
      </c>
      <c r="I36" s="3"/>
      <c r="J36" s="3"/>
      <c r="K36" s="3"/>
      <c r="L36" s="3"/>
      <c r="M36" s="3"/>
      <c r="N36" s="3"/>
      <c r="O36" s="3"/>
      <c r="P36" s="3"/>
      <c r="Q36" s="3"/>
      <c r="R36" s="3"/>
      <c r="S36" s="3"/>
      <c r="T36" s="3"/>
      <c r="U36" s="3"/>
    </row>
    <row r="37" spans="1:21" ht="27" customHeight="1" x14ac:dyDescent="0.25">
      <c r="A37" s="3"/>
      <c r="B37" s="20" t="s">
        <v>93</v>
      </c>
      <c r="C37" s="2"/>
      <c r="D37" s="2">
        <f>D34+D35+D36</f>
        <v>-102</v>
      </c>
      <c r="E37" s="2">
        <f>E34+E35+E36</f>
        <v>1452</v>
      </c>
      <c r="F37" s="100"/>
      <c r="G37" s="101"/>
      <c r="H37" s="21"/>
      <c r="I37" s="3"/>
      <c r="J37" s="3"/>
      <c r="K37" s="3"/>
      <c r="L37" s="3"/>
      <c r="M37" s="3"/>
      <c r="N37" s="3"/>
      <c r="O37" s="3"/>
      <c r="P37" s="3"/>
      <c r="Q37" s="3"/>
      <c r="R37" s="3"/>
      <c r="S37" s="3"/>
      <c r="T37" s="3"/>
      <c r="U37" s="3"/>
    </row>
    <row r="38" spans="1:21" x14ac:dyDescent="0.25">
      <c r="A38" s="3"/>
      <c r="B38" s="3"/>
      <c r="C38" s="3"/>
      <c r="D38" s="3"/>
      <c r="E38" s="3"/>
      <c r="F38" s="3"/>
      <c r="G38" s="3"/>
      <c r="H38" s="3"/>
      <c r="I38" s="3"/>
      <c r="J38" s="3"/>
      <c r="K38" s="3"/>
      <c r="L38" s="3"/>
      <c r="M38" s="3"/>
      <c r="N38" s="3"/>
      <c r="O38" s="3"/>
      <c r="P38" s="3"/>
      <c r="Q38" s="3"/>
      <c r="R38" s="3"/>
      <c r="S38" s="3"/>
      <c r="T38" s="3"/>
      <c r="U38" s="3"/>
    </row>
    <row r="39" spans="1:21" x14ac:dyDescent="0.25">
      <c r="A39" s="3"/>
      <c r="B39" s="8" t="s">
        <v>94</v>
      </c>
      <c r="C39" s="9"/>
      <c r="D39" s="9"/>
      <c r="E39" s="3"/>
      <c r="F39" s="3"/>
      <c r="G39" s="3"/>
      <c r="H39" s="3"/>
      <c r="I39" s="3"/>
      <c r="J39" s="3"/>
      <c r="K39" s="3"/>
      <c r="L39" s="3"/>
      <c r="M39" s="3"/>
      <c r="N39" s="3"/>
      <c r="O39" s="3"/>
      <c r="P39" s="3"/>
      <c r="Q39" s="3"/>
      <c r="R39" s="3"/>
      <c r="S39" s="3"/>
      <c r="T39" s="3"/>
      <c r="U39" s="3"/>
    </row>
    <row r="40" spans="1:21" x14ac:dyDescent="0.25">
      <c r="A40" s="3"/>
      <c r="B40" s="77" t="s">
        <v>95</v>
      </c>
      <c r="C40" s="90" t="str">
        <f>IF(D37&lt;E37,"Health Savings (HDHP)",IF(E37&lt;D37,"Traditional","Tie"))</f>
        <v>Health Savings (HDHP)</v>
      </c>
      <c r="D40" s="90"/>
      <c r="E40" s="3"/>
      <c r="F40" s="3"/>
      <c r="G40" s="3"/>
      <c r="H40" s="3"/>
      <c r="I40" s="3"/>
      <c r="J40" s="3"/>
      <c r="K40" s="3"/>
      <c r="L40" s="3"/>
      <c r="M40" s="3"/>
      <c r="N40" s="3"/>
      <c r="O40" s="3"/>
      <c r="P40" s="3"/>
      <c r="Q40" s="3"/>
      <c r="R40" s="3"/>
      <c r="S40" s="3"/>
      <c r="T40" s="3"/>
      <c r="U40" s="3"/>
    </row>
    <row r="41" spans="1:21" x14ac:dyDescent="0.25">
      <c r="A41" s="3"/>
      <c r="B41" s="77" t="s">
        <v>96</v>
      </c>
      <c r="C41" s="91">
        <f>ABS(D37-E37)</f>
        <v>1554</v>
      </c>
      <c r="D41" s="91"/>
      <c r="E41" s="3"/>
      <c r="F41" s="3"/>
      <c r="G41" s="3"/>
      <c r="H41" s="3"/>
      <c r="I41" s="3"/>
      <c r="J41" s="3"/>
      <c r="K41" s="3"/>
      <c r="L41" s="3"/>
      <c r="M41" s="3"/>
      <c r="N41" s="3"/>
      <c r="O41" s="3"/>
      <c r="P41" s="3"/>
      <c r="Q41" s="3"/>
      <c r="R41" s="3"/>
      <c r="S41" s="3"/>
      <c r="T41" s="3"/>
      <c r="U41" s="3"/>
    </row>
    <row r="42" spans="1:21" x14ac:dyDescent="0.25">
      <c r="A42" s="3"/>
      <c r="B42" s="77" t="s">
        <v>97</v>
      </c>
      <c r="C42" s="81">
        <f>+C8-D35-D33</f>
        <v>1470</v>
      </c>
      <c r="D42" s="84" t="s">
        <v>98</v>
      </c>
      <c r="E42" s="3"/>
      <c r="F42" s="3"/>
      <c r="G42" s="3"/>
      <c r="H42" s="3"/>
      <c r="I42" s="3"/>
      <c r="J42" s="3"/>
      <c r="K42" s="3"/>
      <c r="L42" s="3"/>
      <c r="M42" s="3"/>
      <c r="N42" s="3"/>
      <c r="O42" s="3"/>
      <c r="P42" s="3"/>
      <c r="Q42" s="3"/>
      <c r="R42" s="3"/>
      <c r="S42" s="3"/>
      <c r="T42" s="3"/>
      <c r="U42" s="3"/>
    </row>
    <row r="43" spans="1:21" ht="15" customHeight="1" x14ac:dyDescent="0.25">
      <c r="A43" s="3"/>
      <c r="B43" s="80" t="s">
        <v>99</v>
      </c>
      <c r="C43" s="81">
        <f>IF(C7="Employee Only",IF(C9="Yes",'Plan Data'!$D$53+1000,'Plan Data'!$D$53),IF(C9="Yes",'Plan Data'!$D$54+1000,'Plan Data'!$D$54))</f>
        <v>2900</v>
      </c>
      <c r="D43" s="84" t="str">
        <f>IF(C8&gt;C43,"OVER 2026 limit — reduce","OK — within 2026 limit")</f>
        <v>OK — within 2026 limit</v>
      </c>
      <c r="F43" s="23"/>
      <c r="G43" s="3"/>
      <c r="H43" s="3"/>
      <c r="I43" s="23"/>
      <c r="J43" s="23"/>
      <c r="K43" s="3"/>
      <c r="L43" s="3"/>
      <c r="M43" s="3"/>
      <c r="N43" s="3"/>
      <c r="O43" s="3"/>
      <c r="P43" s="3"/>
      <c r="Q43" s="3"/>
      <c r="R43" s="3"/>
      <c r="S43" s="3"/>
      <c r="T43" s="3"/>
      <c r="U43" s="3"/>
    </row>
    <row r="44" spans="1:21" ht="15" customHeight="1" x14ac:dyDescent="0.25">
      <c r="A44" s="3"/>
      <c r="B44" s="54"/>
      <c r="C44" s="22"/>
      <c r="E44" s="22"/>
      <c r="F44" s="23"/>
      <c r="G44" s="23"/>
      <c r="H44" s="23"/>
      <c r="I44" s="23"/>
      <c r="J44" s="23"/>
      <c r="K44" s="3"/>
      <c r="L44" s="3"/>
      <c r="M44" s="3"/>
      <c r="N44" s="3"/>
      <c r="O44" s="3"/>
      <c r="P44" s="3"/>
      <c r="Q44" s="3"/>
      <c r="R44" s="3"/>
      <c r="S44" s="3"/>
      <c r="T44" s="3"/>
      <c r="U44" s="3"/>
    </row>
    <row r="45" spans="1:21" ht="24" customHeight="1" x14ac:dyDescent="0.25">
      <c r="A45" s="3"/>
      <c r="B45" s="92" t="s">
        <v>100</v>
      </c>
      <c r="C45" s="92"/>
      <c r="D45" s="92"/>
      <c r="E45" s="92"/>
      <c r="F45" s="92"/>
      <c r="G45" s="92"/>
      <c r="H45" s="24"/>
      <c r="I45" s="3"/>
      <c r="J45" s="3"/>
      <c r="K45" s="3"/>
      <c r="L45" s="3"/>
      <c r="M45" s="3"/>
      <c r="N45" s="3"/>
      <c r="O45" s="3"/>
      <c r="P45" s="3"/>
      <c r="Q45" s="3"/>
      <c r="R45" s="3"/>
      <c r="S45" s="3"/>
      <c r="T45" s="3"/>
      <c r="U45" s="3"/>
    </row>
    <row r="46" spans="1:21" ht="24" customHeight="1" x14ac:dyDescent="0.25">
      <c r="A46" s="3"/>
      <c r="B46" s="92" t="s">
        <v>101</v>
      </c>
      <c r="C46" s="92"/>
      <c r="D46" s="92"/>
      <c r="E46" s="92"/>
      <c r="F46" s="92"/>
      <c r="G46" s="92"/>
      <c r="H46" s="24"/>
      <c r="I46" s="3"/>
      <c r="J46" s="3"/>
      <c r="K46" s="3"/>
      <c r="L46" s="3"/>
      <c r="M46" s="3"/>
      <c r="N46" s="3"/>
      <c r="O46" s="3"/>
      <c r="P46" s="3"/>
      <c r="Q46" s="3"/>
      <c r="R46" s="3"/>
      <c r="S46" s="3"/>
      <c r="T46" s="3"/>
      <c r="U46" s="3"/>
    </row>
    <row r="47" spans="1:21" ht="24" customHeight="1" x14ac:dyDescent="0.25">
      <c r="A47" s="3"/>
      <c r="B47" s="92" t="s">
        <v>102</v>
      </c>
      <c r="C47" s="92"/>
      <c r="D47" s="92"/>
      <c r="E47" s="92"/>
      <c r="F47" s="92"/>
      <c r="G47" s="92"/>
      <c r="H47" s="24"/>
      <c r="I47" s="3"/>
      <c r="J47" s="3"/>
      <c r="K47" s="3"/>
      <c r="L47" s="3"/>
      <c r="M47" s="3"/>
      <c r="N47" s="3"/>
      <c r="O47" s="3"/>
      <c r="P47" s="3"/>
      <c r="Q47" s="3"/>
      <c r="R47" s="3"/>
      <c r="S47" s="3"/>
      <c r="T47" s="3"/>
      <c r="U47" s="3"/>
    </row>
    <row r="48" spans="1:21" ht="24" customHeight="1" x14ac:dyDescent="0.25">
      <c r="A48" s="3"/>
      <c r="B48" s="92" t="s">
        <v>103</v>
      </c>
      <c r="C48" s="92"/>
      <c r="D48" s="92"/>
      <c r="E48" s="92"/>
      <c r="F48" s="92"/>
      <c r="G48" s="92"/>
      <c r="H48" s="24"/>
      <c r="I48" s="3"/>
      <c r="J48" s="3"/>
      <c r="K48" s="3"/>
      <c r="L48" s="3"/>
      <c r="M48" s="3"/>
      <c r="N48" s="3"/>
      <c r="O48" s="3"/>
      <c r="P48" s="3"/>
      <c r="Q48" s="3"/>
      <c r="R48" s="3"/>
      <c r="S48" s="3"/>
      <c r="T48" s="3"/>
      <c r="U48" s="3"/>
    </row>
    <row r="49" spans="1:21" ht="24" customHeight="1" x14ac:dyDescent="0.25">
      <c r="A49" s="3"/>
      <c r="B49" s="92" t="s">
        <v>104</v>
      </c>
      <c r="C49" s="92"/>
      <c r="D49" s="92"/>
      <c r="E49" s="92"/>
      <c r="F49" s="92"/>
      <c r="G49" s="92"/>
      <c r="H49" s="24"/>
      <c r="I49" s="3"/>
      <c r="J49" s="3"/>
      <c r="K49" s="3"/>
      <c r="L49" s="3"/>
      <c r="M49" s="3"/>
      <c r="N49" s="3"/>
      <c r="O49" s="3"/>
      <c r="P49" s="3"/>
      <c r="Q49" s="3"/>
      <c r="R49" s="3"/>
      <c r="S49" s="3"/>
      <c r="T49" s="3"/>
      <c r="U49" s="3"/>
    </row>
    <row r="50" spans="1:21" ht="24" customHeight="1" x14ac:dyDescent="0.25">
      <c r="A50" s="3"/>
      <c r="B50" s="92" t="s">
        <v>105</v>
      </c>
      <c r="C50" s="92"/>
      <c r="D50" s="92"/>
      <c r="E50" s="92"/>
      <c r="F50" s="92"/>
      <c r="G50" s="92"/>
      <c r="H50" s="24"/>
      <c r="I50" s="3"/>
      <c r="J50" s="3"/>
      <c r="K50" s="3"/>
      <c r="L50" s="3"/>
      <c r="M50" s="3"/>
      <c r="N50" s="3"/>
      <c r="O50" s="3"/>
      <c r="P50" s="3"/>
      <c r="Q50" s="3"/>
      <c r="R50" s="3"/>
      <c r="S50" s="3"/>
      <c r="T50" s="3"/>
      <c r="U50" s="3"/>
    </row>
    <row r="51" spans="1:21" ht="40.5" customHeight="1" x14ac:dyDescent="0.25">
      <c r="A51" s="3"/>
      <c r="B51" s="93" t="s">
        <v>106</v>
      </c>
      <c r="C51" s="93"/>
      <c r="D51" s="93"/>
      <c r="E51" s="93"/>
      <c r="F51" s="93"/>
      <c r="G51" s="93"/>
      <c r="H51" s="3"/>
      <c r="I51" s="3"/>
      <c r="J51" s="3"/>
      <c r="K51" s="3"/>
      <c r="L51" s="3"/>
      <c r="M51" s="3"/>
      <c r="N51" s="3"/>
      <c r="O51" s="3"/>
      <c r="P51" s="3"/>
      <c r="Q51" s="3"/>
      <c r="R51" s="3"/>
      <c r="S51" s="3"/>
      <c r="T51" s="3"/>
      <c r="U51" s="3"/>
    </row>
    <row r="52" spans="1:21" ht="15" customHeight="1" x14ac:dyDescent="0.25">
      <c r="A52" s="3"/>
      <c r="B52" s="24"/>
      <c r="C52" s="24"/>
      <c r="D52" s="24"/>
      <c r="E52" s="24"/>
      <c r="F52" s="24"/>
      <c r="G52" s="24"/>
      <c r="H52" s="24"/>
      <c r="I52" s="3"/>
      <c r="J52" s="3"/>
      <c r="K52" s="3"/>
      <c r="L52" s="3"/>
      <c r="M52" s="3"/>
      <c r="N52" s="3"/>
      <c r="O52" s="3"/>
      <c r="P52" s="3"/>
      <c r="Q52" s="3"/>
      <c r="R52" s="3"/>
      <c r="S52" s="3"/>
      <c r="T52" s="3"/>
      <c r="U52" s="3"/>
    </row>
    <row r="53" spans="1:21" x14ac:dyDescent="0.25">
      <c r="A53" s="3"/>
      <c r="B53" s="24"/>
      <c r="C53" s="24"/>
      <c r="D53" s="24"/>
      <c r="E53" s="24"/>
      <c r="F53" s="24"/>
      <c r="G53" s="24"/>
      <c r="H53" s="24"/>
      <c r="I53" s="3"/>
      <c r="J53" s="3"/>
      <c r="K53" s="3"/>
      <c r="L53" s="3"/>
      <c r="M53" s="3"/>
      <c r="N53" s="3"/>
      <c r="O53" s="3"/>
      <c r="P53" s="3"/>
      <c r="Q53" s="3"/>
      <c r="R53" s="3"/>
      <c r="S53" s="3"/>
      <c r="T53" s="3"/>
      <c r="U53" s="3"/>
    </row>
    <row r="54" spans="1:21" x14ac:dyDescent="0.25">
      <c r="A54" s="3"/>
      <c r="B54" s="24"/>
      <c r="C54" s="24"/>
      <c r="D54" s="24"/>
      <c r="E54" s="24"/>
      <c r="F54" s="24"/>
      <c r="G54" s="24"/>
      <c r="H54" s="24"/>
      <c r="I54" s="3"/>
      <c r="J54" s="3"/>
      <c r="K54" s="3"/>
      <c r="L54" s="3"/>
      <c r="M54" s="3"/>
      <c r="N54" s="3"/>
      <c r="O54" s="3"/>
      <c r="P54" s="3"/>
      <c r="Q54" s="3"/>
      <c r="R54" s="3"/>
      <c r="S54" s="3"/>
      <c r="T54" s="3"/>
      <c r="U54" s="3"/>
    </row>
  </sheetData>
  <sheetProtection algorithmName="SHA-512" hashValue="kNBN8dBcwPPy70Rkevqn1KbY7dUTTYNNVNp0vGAyCz6bsYluCHs7j/55Hq25SbWJtcQlZCqAtiGNYk1HW8D1hA==" saltValue="oKK7WU0Wu007BoEdv/+fGA==" spinCount="100000" sheet="1" objects="1" scenarios="1"/>
  <mergeCells count="16">
    <mergeCell ref="F27:G28"/>
    <mergeCell ref="F29:G37"/>
    <mergeCell ref="B2:G2"/>
    <mergeCell ref="B3:G3"/>
    <mergeCell ref="J12:M12"/>
    <mergeCell ref="J16:M16"/>
    <mergeCell ref="I20:M25"/>
    <mergeCell ref="C40:D40"/>
    <mergeCell ref="C41:D41"/>
    <mergeCell ref="B45:G45"/>
    <mergeCell ref="B51:G51"/>
    <mergeCell ref="B46:G46"/>
    <mergeCell ref="B47:G47"/>
    <mergeCell ref="B48:G48"/>
    <mergeCell ref="B49:G49"/>
    <mergeCell ref="B50:G50"/>
  </mergeCells>
  <dataValidations count="3">
    <dataValidation type="list" sqref="C6" xr:uid="{00000000-0002-0000-0000-000000000000}">
      <formula1>"Under $100k,$100-199k,$200k+"</formula1>
      <formula2>0</formula2>
    </dataValidation>
    <dataValidation type="list" sqref="C7" xr:uid="{00000000-0002-0000-0000-000001000000}">
      <formula1>"Employee Only,Employee + Spouse,Employee + Child(ren),Family"</formula1>
      <formula2>0</formula2>
    </dataValidation>
    <dataValidation type="list" sqref="C9" xr:uid="{00000000-0002-0000-0000-000002000000}">
      <formula1>"Yes,No"</formula1>
      <formula2>0</formula2>
    </dataValidation>
  </dataValidations>
  <pageMargins left="0.75" right="0.75" top="1" bottom="1" header="0.511811023622047" footer="0.511811023622047"/>
  <pageSetup paperSize="9" orientation="portrait" horizontalDpi="300" verticalDpi="300"/>
  <headerFooter>
    <oddHeader>&amp;C&amp;"Aptos"&amp;10&amp;K000000 Internal&amp;1#_x000D_</oddHeader>
    <oddFooter>&amp;C_x000D_&amp;1#&amp;"Aptos"&amp;10&amp;K000000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9"/>
  <sheetViews>
    <sheetView showGridLines="0" zoomScaleNormal="100" workbookViewId="0">
      <selection activeCell="F46" sqref="F46"/>
    </sheetView>
  </sheetViews>
  <sheetFormatPr defaultColWidth="8.7109375" defaultRowHeight="15" x14ac:dyDescent="0.25"/>
  <cols>
    <col min="1" max="1" width="86.42578125" customWidth="1"/>
    <col min="2" max="6" width="15" customWidth="1"/>
  </cols>
  <sheetData>
    <row r="1" spans="1:4" ht="16.5" customHeight="1" x14ac:dyDescent="0.25">
      <c r="A1" s="25" t="s">
        <v>107</v>
      </c>
    </row>
    <row r="2" spans="1:4" x14ac:dyDescent="0.25">
      <c r="A2" s="1" t="s">
        <v>108</v>
      </c>
    </row>
    <row r="4" spans="1:4" x14ac:dyDescent="0.25">
      <c r="A4" s="26" t="s">
        <v>109</v>
      </c>
      <c r="B4" s="27"/>
      <c r="C4" s="27"/>
      <c r="D4" s="27"/>
    </row>
    <row r="5" spans="1:4" x14ac:dyDescent="0.25">
      <c r="A5" s="28" t="s">
        <v>110</v>
      </c>
      <c r="B5" s="28" t="s">
        <v>9</v>
      </c>
      <c r="C5" s="28" t="s">
        <v>111</v>
      </c>
      <c r="D5" s="28" t="s">
        <v>112</v>
      </c>
    </row>
    <row r="6" spans="1:4" x14ac:dyDescent="0.25">
      <c r="A6" s="29" t="s">
        <v>13</v>
      </c>
      <c r="B6" s="30">
        <v>27</v>
      </c>
      <c r="C6" s="30">
        <v>45</v>
      </c>
      <c r="D6" s="30">
        <v>67.5</v>
      </c>
    </row>
    <row r="7" spans="1:4" x14ac:dyDescent="0.25">
      <c r="A7" s="31" t="s">
        <v>113</v>
      </c>
      <c r="B7" s="32">
        <v>72.900000000000006</v>
      </c>
      <c r="C7" s="32">
        <v>121.5</v>
      </c>
      <c r="D7" s="32">
        <v>182.25</v>
      </c>
    </row>
    <row r="8" spans="1:4" x14ac:dyDescent="0.25">
      <c r="A8" s="29" t="s">
        <v>114</v>
      </c>
      <c r="B8" s="30">
        <v>54</v>
      </c>
      <c r="C8" s="30">
        <v>90</v>
      </c>
      <c r="D8" s="30">
        <v>135</v>
      </c>
    </row>
    <row r="9" spans="1:4" x14ac:dyDescent="0.25">
      <c r="A9" s="31" t="s">
        <v>115</v>
      </c>
      <c r="B9" s="32">
        <v>83.7</v>
      </c>
      <c r="C9" s="32">
        <v>139.5</v>
      </c>
      <c r="D9" s="32">
        <v>209.25</v>
      </c>
    </row>
    <row r="11" spans="1:4" x14ac:dyDescent="0.25">
      <c r="A11" s="26" t="s">
        <v>116</v>
      </c>
      <c r="B11" s="27"/>
      <c r="C11" s="27"/>
      <c r="D11" s="27"/>
    </row>
    <row r="12" spans="1:4" x14ac:dyDescent="0.25">
      <c r="A12" s="28" t="s">
        <v>110</v>
      </c>
      <c r="B12" s="28" t="s">
        <v>9</v>
      </c>
      <c r="C12" s="28" t="s">
        <v>111</v>
      </c>
      <c r="D12" s="28" t="s">
        <v>112</v>
      </c>
    </row>
    <row r="13" spans="1:4" x14ac:dyDescent="0.25">
      <c r="A13" s="29" t="s">
        <v>13</v>
      </c>
      <c r="B13" s="30">
        <v>63</v>
      </c>
      <c r="C13" s="30">
        <v>94.5</v>
      </c>
      <c r="D13" s="30">
        <v>144</v>
      </c>
    </row>
    <row r="14" spans="1:4" x14ac:dyDescent="0.25">
      <c r="A14" s="31" t="s">
        <v>113</v>
      </c>
      <c r="B14" s="32">
        <v>170.1</v>
      </c>
      <c r="C14" s="32">
        <v>255.15</v>
      </c>
      <c r="D14" s="32">
        <v>388.8</v>
      </c>
    </row>
    <row r="15" spans="1:4" x14ac:dyDescent="0.25">
      <c r="A15" s="29" t="s">
        <v>114</v>
      </c>
      <c r="B15" s="30">
        <v>126</v>
      </c>
      <c r="C15" s="30">
        <v>189</v>
      </c>
      <c r="D15" s="30">
        <v>288</v>
      </c>
    </row>
    <row r="16" spans="1:4" x14ac:dyDescent="0.25">
      <c r="A16" s="31" t="s">
        <v>115</v>
      </c>
      <c r="B16" s="32">
        <v>195.3</v>
      </c>
      <c r="C16" s="32">
        <v>292.95</v>
      </c>
      <c r="D16" s="32">
        <v>446.4</v>
      </c>
    </row>
    <row r="18" spans="1:3" x14ac:dyDescent="0.25">
      <c r="A18" s="26" t="s">
        <v>117</v>
      </c>
      <c r="B18" s="27"/>
      <c r="C18" s="27"/>
    </row>
    <row r="19" spans="1:3" x14ac:dyDescent="0.25">
      <c r="A19" s="28" t="s">
        <v>118</v>
      </c>
      <c r="B19" s="28" t="s">
        <v>119</v>
      </c>
      <c r="C19" s="28" t="s">
        <v>50</v>
      </c>
    </row>
    <row r="20" spans="1:3" x14ac:dyDescent="0.25">
      <c r="A20" s="29" t="s">
        <v>120</v>
      </c>
      <c r="B20" s="33">
        <v>3500</v>
      </c>
      <c r="C20" s="33">
        <v>1000</v>
      </c>
    </row>
    <row r="21" spans="1:3" x14ac:dyDescent="0.25">
      <c r="A21" s="31" t="s">
        <v>121</v>
      </c>
      <c r="B21" s="34">
        <v>7000</v>
      </c>
      <c r="C21" s="34">
        <v>2000</v>
      </c>
    </row>
    <row r="22" spans="1:3" x14ac:dyDescent="0.25">
      <c r="A22" s="29" t="s">
        <v>122</v>
      </c>
      <c r="B22" s="33">
        <v>5000</v>
      </c>
      <c r="C22" s="33">
        <v>3000</v>
      </c>
    </row>
    <row r="23" spans="1:3" x14ac:dyDescent="0.25">
      <c r="A23" s="31" t="s">
        <v>123</v>
      </c>
      <c r="B23" s="34">
        <v>10000</v>
      </c>
      <c r="C23" s="34">
        <v>6000</v>
      </c>
    </row>
    <row r="24" spans="1:3" x14ac:dyDescent="0.25">
      <c r="A24" s="29" t="s">
        <v>124</v>
      </c>
      <c r="B24" s="35">
        <v>0.2</v>
      </c>
      <c r="C24" s="35">
        <v>0.2</v>
      </c>
    </row>
    <row r="25" spans="1:3" x14ac:dyDescent="0.25">
      <c r="A25" s="31" t="s">
        <v>125</v>
      </c>
      <c r="B25" s="34">
        <v>1500</v>
      </c>
      <c r="C25" s="34">
        <v>0</v>
      </c>
    </row>
    <row r="26" spans="1:3" x14ac:dyDescent="0.25">
      <c r="A26" s="29" t="s">
        <v>126</v>
      </c>
      <c r="B26" s="33">
        <v>3000</v>
      </c>
      <c r="C26" s="33">
        <v>0</v>
      </c>
    </row>
    <row r="28" spans="1:3" x14ac:dyDescent="0.25">
      <c r="A28" s="26" t="s">
        <v>127</v>
      </c>
      <c r="B28" s="27"/>
    </row>
    <row r="29" spans="1:3" x14ac:dyDescent="0.25">
      <c r="A29" s="29" t="s">
        <v>128</v>
      </c>
      <c r="B29" s="33">
        <v>25</v>
      </c>
    </row>
    <row r="30" spans="1:3" x14ac:dyDescent="0.25">
      <c r="A30" s="31" t="s">
        <v>129</v>
      </c>
      <c r="B30" s="34">
        <v>40</v>
      </c>
    </row>
    <row r="31" spans="1:3" x14ac:dyDescent="0.25">
      <c r="A31" s="29" t="s">
        <v>130</v>
      </c>
      <c r="B31" s="33">
        <v>50</v>
      </c>
    </row>
    <row r="32" spans="1:3" x14ac:dyDescent="0.25">
      <c r="A32" s="31" t="s">
        <v>131</v>
      </c>
      <c r="B32" s="34">
        <v>300</v>
      </c>
    </row>
    <row r="35" spans="1:3" x14ac:dyDescent="0.25">
      <c r="A35" s="26" t="s">
        <v>132</v>
      </c>
      <c r="B35" s="27"/>
    </row>
    <row r="36" spans="1:3" x14ac:dyDescent="0.25">
      <c r="A36" s="29" t="s">
        <v>133</v>
      </c>
      <c r="B36" s="33">
        <v>170</v>
      </c>
    </row>
    <row r="37" spans="1:3" x14ac:dyDescent="0.25">
      <c r="A37" s="31" t="s">
        <v>134</v>
      </c>
      <c r="B37" s="34">
        <v>300</v>
      </c>
    </row>
    <row r="38" spans="1:3" x14ac:dyDescent="0.25">
      <c r="A38" s="29" t="s">
        <v>135</v>
      </c>
      <c r="B38" s="33">
        <v>180</v>
      </c>
    </row>
    <row r="39" spans="1:3" x14ac:dyDescent="0.25">
      <c r="A39" s="31" t="s">
        <v>136</v>
      </c>
      <c r="B39" s="34">
        <v>1900</v>
      </c>
    </row>
    <row r="40" spans="1:3" x14ac:dyDescent="0.25">
      <c r="A40" s="29" t="s">
        <v>137</v>
      </c>
      <c r="B40" s="33">
        <v>100</v>
      </c>
    </row>
    <row r="41" spans="1:3" x14ac:dyDescent="0.25">
      <c r="A41" s="11" t="s">
        <v>138</v>
      </c>
    </row>
    <row r="43" spans="1:3" x14ac:dyDescent="0.25">
      <c r="A43" s="26" t="s">
        <v>139</v>
      </c>
      <c r="B43" s="27"/>
      <c r="C43" s="27"/>
    </row>
    <row r="44" spans="1:3" x14ac:dyDescent="0.25">
      <c r="A44" s="28" t="s">
        <v>140</v>
      </c>
      <c r="B44" s="28" t="s">
        <v>141</v>
      </c>
      <c r="C44" s="28" t="s">
        <v>142</v>
      </c>
    </row>
    <row r="45" spans="1:3" x14ac:dyDescent="0.25">
      <c r="A45" s="29" t="s">
        <v>143</v>
      </c>
      <c r="B45" s="36" t="s">
        <v>144</v>
      </c>
      <c r="C45" s="36" t="s">
        <v>145</v>
      </c>
    </row>
    <row r="46" spans="1:3" x14ac:dyDescent="0.25">
      <c r="A46" s="31" t="s">
        <v>146</v>
      </c>
      <c r="B46" s="37" t="s">
        <v>147</v>
      </c>
      <c r="C46" s="37" t="s">
        <v>148</v>
      </c>
    </row>
    <row r="47" spans="1:3" x14ac:dyDescent="0.25">
      <c r="A47" s="29" t="s">
        <v>149</v>
      </c>
      <c r="B47" s="36" t="s">
        <v>150</v>
      </c>
      <c r="C47" s="36" t="s">
        <v>151</v>
      </c>
    </row>
    <row r="48" spans="1:3" x14ac:dyDescent="0.25">
      <c r="A48" s="31" t="s">
        <v>152</v>
      </c>
      <c r="B48" s="37" t="s">
        <v>153</v>
      </c>
      <c r="C48" s="37" t="s">
        <v>153</v>
      </c>
    </row>
    <row r="49" spans="1:6" x14ac:dyDescent="0.25">
      <c r="A49" s="11" t="s">
        <v>154</v>
      </c>
    </row>
    <row r="51" spans="1:6" x14ac:dyDescent="0.25">
      <c r="A51" s="26" t="s">
        <v>155</v>
      </c>
      <c r="B51" s="27"/>
      <c r="C51" s="27"/>
      <c r="D51" s="27"/>
      <c r="E51" s="27"/>
      <c r="F51" s="27"/>
    </row>
    <row r="52" spans="1:6" ht="24" customHeight="1" x14ac:dyDescent="0.25">
      <c r="A52" s="38" t="s">
        <v>156</v>
      </c>
      <c r="B52" s="38" t="s">
        <v>157</v>
      </c>
      <c r="C52" s="38" t="s">
        <v>158</v>
      </c>
      <c r="D52" s="38" t="s">
        <v>159</v>
      </c>
      <c r="E52" s="38" t="s">
        <v>160</v>
      </c>
      <c r="F52" s="38" t="s">
        <v>161</v>
      </c>
    </row>
    <row r="53" spans="1:6" x14ac:dyDescent="0.25">
      <c r="A53" s="29" t="s">
        <v>13</v>
      </c>
      <c r="B53" s="33">
        <v>4400</v>
      </c>
      <c r="C53" s="33">
        <v>1500</v>
      </c>
      <c r="D53" s="33">
        <v>2900</v>
      </c>
      <c r="E53" s="33">
        <v>4500</v>
      </c>
      <c r="F53" s="33">
        <v>3000</v>
      </c>
    </row>
    <row r="54" spans="1:6" x14ac:dyDescent="0.25">
      <c r="A54" s="31" t="s">
        <v>162</v>
      </c>
      <c r="B54" s="34">
        <v>8750</v>
      </c>
      <c r="C54" s="34">
        <v>3000</v>
      </c>
      <c r="D54" s="34">
        <v>5750</v>
      </c>
      <c r="E54" s="34">
        <v>9000</v>
      </c>
      <c r="F54" s="34">
        <v>6000</v>
      </c>
    </row>
    <row r="55" spans="1:6" x14ac:dyDescent="0.25">
      <c r="A55" s="1" t="s">
        <v>163</v>
      </c>
    </row>
    <row r="57" spans="1:6" ht="15" customHeight="1" x14ac:dyDescent="0.25">
      <c r="A57" s="107" t="s">
        <v>164</v>
      </c>
      <c r="B57" s="107"/>
      <c r="C57" s="107"/>
      <c r="D57" s="107"/>
      <c r="E57" s="107"/>
      <c r="F57" s="107"/>
    </row>
    <row r="58" spans="1:6" x14ac:dyDescent="0.25">
      <c r="A58" s="107"/>
      <c r="B58" s="107"/>
      <c r="C58" s="107"/>
      <c r="D58" s="107"/>
      <c r="E58" s="107"/>
      <c r="F58" s="107"/>
    </row>
    <row r="59" spans="1:6" x14ac:dyDescent="0.25">
      <c r="A59" s="107"/>
      <c r="B59" s="107"/>
      <c r="C59" s="107"/>
      <c r="D59" s="107"/>
      <c r="E59" s="107"/>
      <c r="F59" s="107"/>
    </row>
  </sheetData>
  <mergeCells count="1">
    <mergeCell ref="A57:F59"/>
  </mergeCells>
  <pageMargins left="0.75" right="0.75" top="1" bottom="1" header="0.511811023622047" footer="0.511811023622047"/>
  <pageSetup paperSize="9" orientation="portrait" horizontalDpi="300" verticalDpi="300"/>
  <headerFooter>
    <oddHeader>&amp;C&amp;"Aptos"&amp;10&amp;K000000 Internal&amp;1#_x000D_</oddHeader>
    <oddFooter>&amp;C_x000D_&amp;1#&amp;"Aptos"&amp;10&amp;K000000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64"/>
  <sheetViews>
    <sheetView showGridLines="0" zoomScaleNormal="100" workbookViewId="0">
      <selection activeCell="K12" sqref="K12"/>
    </sheetView>
  </sheetViews>
  <sheetFormatPr defaultColWidth="8.7109375" defaultRowHeight="15" x14ac:dyDescent="0.25"/>
  <cols>
    <col min="1" max="1" width="2" customWidth="1"/>
    <col min="2" max="2" width="40" customWidth="1"/>
    <col min="3" max="3" width="20.28515625" customWidth="1"/>
    <col min="4" max="6" width="20" customWidth="1"/>
    <col min="7" max="7" width="2" customWidth="1"/>
  </cols>
  <sheetData>
    <row r="2" spans="2:8" ht="25.5" customHeight="1" x14ac:dyDescent="0.25">
      <c r="B2" s="108" t="s">
        <v>165</v>
      </c>
      <c r="C2" s="108"/>
      <c r="D2" s="108"/>
      <c r="E2" s="108"/>
      <c r="F2" s="108"/>
      <c r="G2" s="108"/>
      <c r="H2" s="108"/>
    </row>
    <row r="3" spans="2:8" x14ac:dyDescent="0.25">
      <c r="B3" s="109" t="s">
        <v>166</v>
      </c>
      <c r="C3" s="109"/>
      <c r="D3" s="109"/>
      <c r="E3" s="109"/>
      <c r="F3" s="109"/>
      <c r="G3" s="109"/>
      <c r="H3" s="109"/>
    </row>
    <row r="4" spans="2:8" x14ac:dyDescent="0.25">
      <c r="B4" s="109" t="s">
        <v>167</v>
      </c>
      <c r="C4" s="109"/>
      <c r="D4" s="109"/>
      <c r="E4" s="109"/>
      <c r="F4" s="109"/>
      <c r="G4" s="109"/>
      <c r="H4" s="109"/>
    </row>
    <row r="5" spans="2:8" x14ac:dyDescent="0.25">
      <c r="B5" s="1"/>
      <c r="C5" s="1"/>
      <c r="D5" s="1"/>
      <c r="E5" s="1"/>
      <c r="F5" s="1"/>
      <c r="G5" s="1"/>
      <c r="H5" s="1"/>
    </row>
    <row r="6" spans="2:8" x14ac:dyDescent="0.25">
      <c r="B6" s="39" t="s">
        <v>168</v>
      </c>
      <c r="C6" s="40"/>
      <c r="D6" s="40"/>
    </row>
    <row r="7" spans="2:8" x14ac:dyDescent="0.25">
      <c r="B7" s="41" t="s">
        <v>169</v>
      </c>
      <c r="C7" s="42">
        <v>1000</v>
      </c>
      <c r="D7" s="1" t="s">
        <v>170</v>
      </c>
    </row>
    <row r="8" spans="2:8" x14ac:dyDescent="0.25">
      <c r="B8" s="41" t="s">
        <v>171</v>
      </c>
      <c r="C8" s="42">
        <v>0</v>
      </c>
      <c r="D8" s="1" t="s">
        <v>172</v>
      </c>
    </row>
    <row r="9" spans="2:8" x14ac:dyDescent="0.25">
      <c r="B9" s="41" t="s">
        <v>173</v>
      </c>
      <c r="C9" s="43">
        <v>7.0000000000000007E-2</v>
      </c>
      <c r="D9" s="1" t="s">
        <v>174</v>
      </c>
    </row>
    <row r="10" spans="2:8" x14ac:dyDescent="0.25">
      <c r="B10" s="41" t="s">
        <v>175</v>
      </c>
      <c r="C10" s="44">
        <v>30</v>
      </c>
      <c r="D10" s="1" t="s">
        <v>176</v>
      </c>
    </row>
    <row r="11" spans="2:8" x14ac:dyDescent="0.25">
      <c r="B11" s="41" t="s">
        <v>177</v>
      </c>
      <c r="C11" s="45" t="s">
        <v>178</v>
      </c>
      <c r="D11" s="1" t="s">
        <v>179</v>
      </c>
    </row>
    <row r="14" spans="2:8" x14ac:dyDescent="0.25">
      <c r="B14" s="46" t="s">
        <v>180</v>
      </c>
      <c r="C14" s="27"/>
      <c r="D14" s="27"/>
    </row>
    <row r="15" spans="2:8" x14ac:dyDescent="0.25">
      <c r="B15" s="41" t="s">
        <v>181</v>
      </c>
      <c r="C15" s="47">
        <f>C8+C7*C10</f>
        <v>30000</v>
      </c>
    </row>
    <row r="16" spans="2:8" x14ac:dyDescent="0.25">
      <c r="B16" s="41" t="s">
        <v>182</v>
      </c>
      <c r="C16" s="48">
        <f>IF(C9=0,C8+C7*C10,C8*(1+C9)^C10+C7*(((1+C9)^C10-1)/C9)*IF(C11="Beginning",(1+C9),1))</f>
        <v>101073.0413664053</v>
      </c>
    </row>
    <row r="17" spans="2:6" x14ac:dyDescent="0.25">
      <c r="B17" s="41" t="s">
        <v>183</v>
      </c>
      <c r="C17" s="47">
        <f>C16-C15</f>
        <v>71073.041366405305</v>
      </c>
    </row>
    <row r="19" spans="2:6" x14ac:dyDescent="0.25">
      <c r="B19" s="49" t="s">
        <v>184</v>
      </c>
      <c r="C19" s="40"/>
      <c r="D19" s="40"/>
      <c r="E19" s="40"/>
      <c r="F19" s="40"/>
    </row>
    <row r="20" spans="2:6" x14ac:dyDescent="0.25">
      <c r="B20" s="38" t="s">
        <v>185</v>
      </c>
      <c r="C20" s="38" t="s">
        <v>186</v>
      </c>
      <c r="D20" s="38" t="s">
        <v>187</v>
      </c>
      <c r="E20" s="38" t="s">
        <v>188</v>
      </c>
      <c r="F20" s="38" t="s">
        <v>189</v>
      </c>
    </row>
    <row r="21" spans="2:6" x14ac:dyDescent="0.25">
      <c r="B21" s="50">
        <f>IF(1&lt;=C10,1,"")</f>
        <v>1</v>
      </c>
      <c r="C21" s="51">
        <f>IF(1&lt;=C10,C8,"")</f>
        <v>0</v>
      </c>
      <c r="D21" s="51">
        <f>IF(1&lt;=C10,C7,"")</f>
        <v>1000</v>
      </c>
      <c r="E21" s="52">
        <f>IF(1&lt;=C10,IF(C11="Beginning",(C21+D21)*C9,C21*C9),"")</f>
        <v>70</v>
      </c>
      <c r="F21" s="51">
        <f>IF(1&lt;=C10,C21+E21+D21,"")</f>
        <v>1070</v>
      </c>
    </row>
    <row r="22" spans="2:6" x14ac:dyDescent="0.25">
      <c r="B22" s="50">
        <f>IF(2&lt;=C10,2,"")</f>
        <v>2</v>
      </c>
      <c r="C22" s="51">
        <f>IF(2&lt;=C10,F21,"")</f>
        <v>1070</v>
      </c>
      <c r="D22" s="51">
        <f>IF(2&lt;=C10,C7,"")</f>
        <v>1000</v>
      </c>
      <c r="E22" s="52">
        <f>IF(2&lt;=C10,IF(C11="Beginning",(C22+D22)*C9,C22*C9),"")</f>
        <v>144.9</v>
      </c>
      <c r="F22" s="51">
        <f>IF(2&lt;=C10,C22+E22+D22,"")</f>
        <v>2214.9</v>
      </c>
    </row>
    <row r="23" spans="2:6" x14ac:dyDescent="0.25">
      <c r="B23" s="50">
        <f>IF(3&lt;=C10,3,"")</f>
        <v>3</v>
      </c>
      <c r="C23" s="51">
        <f>IF(3&lt;=C10,F22,"")</f>
        <v>2214.9</v>
      </c>
      <c r="D23" s="51">
        <f>IF(3&lt;=C10,C7,"")</f>
        <v>1000</v>
      </c>
      <c r="E23" s="52">
        <f>IF(3&lt;=C10,IF(C11="Beginning",(C23+D23)*C9,C23*C9),"")</f>
        <v>225.04300000000003</v>
      </c>
      <c r="F23" s="51">
        <f>IF(3&lt;=C10,C23+E23+D23,"")</f>
        <v>3439.9430000000002</v>
      </c>
    </row>
    <row r="24" spans="2:6" x14ac:dyDescent="0.25">
      <c r="B24" s="50">
        <f>IF(4&lt;=C10,4,"")</f>
        <v>4</v>
      </c>
      <c r="C24" s="51">
        <f>IF(4&lt;=C10,F23,"")</f>
        <v>3439.9430000000002</v>
      </c>
      <c r="D24" s="51">
        <f>IF(4&lt;=C10,C7,"")</f>
        <v>1000</v>
      </c>
      <c r="E24" s="52">
        <f>IF(4&lt;=C10,IF(C11="Beginning",(C24+D24)*C9,C24*C9),"")</f>
        <v>310.79601000000002</v>
      </c>
      <c r="F24" s="51">
        <f>IF(4&lt;=C10,C24+E24+D24,"")</f>
        <v>4750.7390100000002</v>
      </c>
    </row>
    <row r="25" spans="2:6" x14ac:dyDescent="0.25">
      <c r="B25" s="50">
        <f>IF(5&lt;=C10,5,"")</f>
        <v>5</v>
      </c>
      <c r="C25" s="51">
        <f>IF(5&lt;=C10,F24,"")</f>
        <v>4750.7390100000002</v>
      </c>
      <c r="D25" s="51">
        <f>IF(5&lt;=C10,C7,"")</f>
        <v>1000</v>
      </c>
      <c r="E25" s="52">
        <f>IF(5&lt;=C10,IF(C11="Beginning",(C25+D25)*C9,C25*C9),"")</f>
        <v>402.55173070000006</v>
      </c>
      <c r="F25" s="51">
        <f>IF(5&lt;=C10,C25+E25+D25,"")</f>
        <v>6153.2907407000002</v>
      </c>
    </row>
    <row r="26" spans="2:6" x14ac:dyDescent="0.25">
      <c r="B26" s="50">
        <f>IF(6&lt;=C10,6,"")</f>
        <v>6</v>
      </c>
      <c r="C26" s="51">
        <f>IF(6&lt;=C10,F25,"")</f>
        <v>6153.2907407000002</v>
      </c>
      <c r="D26" s="51">
        <f>IF(6&lt;=C10,C7,"")</f>
        <v>1000</v>
      </c>
      <c r="E26" s="52">
        <f>IF(6&lt;=C10,IF(C11="Beginning",(C26+D26)*C9,C26*C9),"")</f>
        <v>500.73035184900004</v>
      </c>
      <c r="F26" s="51">
        <f>IF(6&lt;=C10,C26+E26+D26,"")</f>
        <v>7654.0210925490001</v>
      </c>
    </row>
    <row r="27" spans="2:6" x14ac:dyDescent="0.25">
      <c r="B27" s="50">
        <f>IF(7&lt;=C10,7,"")</f>
        <v>7</v>
      </c>
      <c r="C27" s="51">
        <f>IF(7&lt;=C10,F26,"")</f>
        <v>7654.0210925490001</v>
      </c>
      <c r="D27" s="51">
        <f>IF(7&lt;=C10,C7,"")</f>
        <v>1000</v>
      </c>
      <c r="E27" s="52">
        <f>IF(7&lt;=C10,IF(C11="Beginning",(C27+D27)*C9,C27*C9),"")</f>
        <v>605.78147647843002</v>
      </c>
      <c r="F27" s="51">
        <f>IF(7&lt;=C10,C27+E27+D27,"")</f>
        <v>9259.8025690274299</v>
      </c>
    </row>
    <row r="28" spans="2:6" x14ac:dyDescent="0.25">
      <c r="B28" s="50">
        <f>IF(8&lt;=C10,8,"")</f>
        <v>8</v>
      </c>
      <c r="C28" s="51">
        <f>IF(8&lt;=C10,F27,"")</f>
        <v>9259.8025690274299</v>
      </c>
      <c r="D28" s="51">
        <f>IF(8&lt;=C10,C7,"")</f>
        <v>1000</v>
      </c>
      <c r="E28" s="52">
        <f>IF(8&lt;=C10,IF(C11="Beginning",(C28+D28)*C9,C28*C9),"")</f>
        <v>718.18617983192019</v>
      </c>
      <c r="F28" s="51">
        <f>IF(8&lt;=C10,C28+E28+D28,"")</f>
        <v>10977.98874885935</v>
      </c>
    </row>
    <row r="29" spans="2:6" x14ac:dyDescent="0.25">
      <c r="B29" s="50">
        <f>IF(9&lt;=C10,9,"")</f>
        <v>9</v>
      </c>
      <c r="C29" s="51">
        <f>IF(9&lt;=C10,F28,"")</f>
        <v>10977.98874885935</v>
      </c>
      <c r="D29" s="51">
        <f>IF(9&lt;=C10,C7,"")</f>
        <v>1000</v>
      </c>
      <c r="E29" s="52">
        <f>IF(9&lt;=C10,IF(C11="Beginning",(C29+D29)*C9,C29*C9),"")</f>
        <v>838.45921242015459</v>
      </c>
      <c r="F29" s="51">
        <f>IF(9&lt;=C10,C29+E29+D29,"")</f>
        <v>12816.447961279506</v>
      </c>
    </row>
    <row r="30" spans="2:6" x14ac:dyDescent="0.25">
      <c r="B30" s="50">
        <f>IF(10&lt;=C10,10,"")</f>
        <v>10</v>
      </c>
      <c r="C30" s="51">
        <f>IF(10&lt;=C10,F29,"")</f>
        <v>12816.447961279506</v>
      </c>
      <c r="D30" s="51">
        <f>IF(10&lt;=C10,C7,"")</f>
        <v>1000</v>
      </c>
      <c r="E30" s="52">
        <f>IF(10&lt;=C10,IF(C11="Beginning",(C30+D30)*C9,C30*C9),"")</f>
        <v>967.15135728956545</v>
      </c>
      <c r="F30" s="51">
        <f>IF(10&lt;=C10,C30+E30+D30,"")</f>
        <v>14783.599318569071</v>
      </c>
    </row>
    <row r="31" spans="2:6" x14ac:dyDescent="0.25">
      <c r="B31" s="50">
        <f>IF(11&lt;=C10,11,"")</f>
        <v>11</v>
      </c>
      <c r="C31" s="51">
        <f>IF(11&lt;=C10,F30,"")</f>
        <v>14783.599318569071</v>
      </c>
      <c r="D31" s="51">
        <f>IF(11&lt;=C10,C7,"")</f>
        <v>1000</v>
      </c>
      <c r="E31" s="52">
        <f>IF(11&lt;=C10,IF(C11="Beginning",(C31+D31)*C9,C31*C9),"")</f>
        <v>1104.8519522998351</v>
      </c>
      <c r="F31" s="51">
        <f>IF(11&lt;=C10,C31+E31+D31,"")</f>
        <v>16888.451270868907</v>
      </c>
    </row>
    <row r="32" spans="2:6" x14ac:dyDescent="0.25">
      <c r="B32" s="50">
        <f>IF(12&lt;=C10,12,"")</f>
        <v>12</v>
      </c>
      <c r="C32" s="51">
        <f>IF(12&lt;=C10,F31,"")</f>
        <v>16888.451270868907</v>
      </c>
      <c r="D32" s="51">
        <f>IF(12&lt;=C10,C7,"")</f>
        <v>1000</v>
      </c>
      <c r="E32" s="52">
        <f>IF(12&lt;=C10,IF(C11="Beginning",(C32+D32)*C9,C32*C9),"")</f>
        <v>1252.1915889608235</v>
      </c>
      <c r="F32" s="51">
        <f>IF(12&lt;=C10,C32+E32+D32,"")</f>
        <v>19140.642859829732</v>
      </c>
    </row>
    <row r="33" spans="2:6" x14ac:dyDescent="0.25">
      <c r="B33" s="50">
        <f>IF(13&lt;=C10,13,"")</f>
        <v>13</v>
      </c>
      <c r="C33" s="51">
        <f>IF(13&lt;=C10,F32,"")</f>
        <v>19140.642859829732</v>
      </c>
      <c r="D33" s="51">
        <f>IF(13&lt;=C10,C7,"")</f>
        <v>1000</v>
      </c>
      <c r="E33" s="52">
        <f>IF(13&lt;=C10,IF(C11="Beginning",(C33+D33)*C9,C33*C9),"")</f>
        <v>1409.8450001880813</v>
      </c>
      <c r="F33" s="51">
        <f>IF(13&lt;=C10,C33+E33+D33,"")</f>
        <v>21550.487860017813</v>
      </c>
    </row>
    <row r="34" spans="2:6" x14ac:dyDescent="0.25">
      <c r="B34" s="50">
        <f>IF(14&lt;=C10,14,"")</f>
        <v>14</v>
      </c>
      <c r="C34" s="51">
        <f>IF(14&lt;=C10,F33,"")</f>
        <v>21550.487860017813</v>
      </c>
      <c r="D34" s="51">
        <f>IF(14&lt;=C10,C7,"")</f>
        <v>1000</v>
      </c>
      <c r="E34" s="52">
        <f>IF(14&lt;=C10,IF(C11="Beginning",(C34+D34)*C9,C34*C9),"")</f>
        <v>1578.534150201247</v>
      </c>
      <c r="F34" s="51">
        <f>IF(14&lt;=C10,C34+E34+D34,"")</f>
        <v>24129.022010219058</v>
      </c>
    </row>
    <row r="35" spans="2:6" x14ac:dyDescent="0.25">
      <c r="B35" s="50">
        <f>IF(15&lt;=C10,15,"")</f>
        <v>15</v>
      </c>
      <c r="C35" s="51">
        <f>IF(15&lt;=C10,F34,"")</f>
        <v>24129.022010219058</v>
      </c>
      <c r="D35" s="51">
        <f>IF(15&lt;=C10,C7,"")</f>
        <v>1000</v>
      </c>
      <c r="E35" s="52">
        <f>IF(15&lt;=C10,IF(C11="Beginning",(C35+D35)*C9,C35*C9),"")</f>
        <v>1759.0315407153341</v>
      </c>
      <c r="F35" s="51">
        <f>IF(15&lt;=C10,C35+E35+D35,"")</f>
        <v>26888.053550934394</v>
      </c>
    </row>
    <row r="36" spans="2:6" x14ac:dyDescent="0.25">
      <c r="B36" s="50">
        <f>IF(16&lt;=C10,16,"")</f>
        <v>16</v>
      </c>
      <c r="C36" s="51">
        <f>IF(16&lt;=C10,F35,"")</f>
        <v>26888.053550934394</v>
      </c>
      <c r="D36" s="51">
        <f>IF(16&lt;=C10,C7,"")</f>
        <v>1000</v>
      </c>
      <c r="E36" s="52">
        <f>IF(16&lt;=C10,IF(C11="Beginning",(C36+D36)*C9,C36*C9),"")</f>
        <v>1952.1637485654078</v>
      </c>
      <c r="F36" s="51">
        <f>IF(16&lt;=C10,C36+E36+D36,"")</f>
        <v>29840.2172994998</v>
      </c>
    </row>
    <row r="37" spans="2:6" x14ac:dyDescent="0.25">
      <c r="B37" s="50">
        <f>IF(17&lt;=C10,17,"")</f>
        <v>17</v>
      </c>
      <c r="C37" s="51">
        <f>IF(17&lt;=C10,F36,"")</f>
        <v>29840.2172994998</v>
      </c>
      <c r="D37" s="51">
        <f>IF(17&lt;=C10,C7,"")</f>
        <v>1000</v>
      </c>
      <c r="E37" s="52">
        <f>IF(17&lt;=C10,IF(C11="Beginning",(C37+D37)*C9,C37*C9),"")</f>
        <v>2158.8152109649864</v>
      </c>
      <c r="F37" s="51">
        <f>IF(17&lt;=C10,C37+E37+D37,"")</f>
        <v>32999.032510464785</v>
      </c>
    </row>
    <row r="38" spans="2:6" x14ac:dyDescent="0.25">
      <c r="B38" s="50">
        <f>IF(18&lt;=C10,18,"")</f>
        <v>18</v>
      </c>
      <c r="C38" s="51">
        <f>IF(18&lt;=C10,F37,"")</f>
        <v>32999.032510464785</v>
      </c>
      <c r="D38" s="51">
        <f>IF(18&lt;=C10,C7,"")</f>
        <v>1000</v>
      </c>
      <c r="E38" s="52">
        <f>IF(18&lt;=C10,IF(C11="Beginning",(C38+D38)*C9,C38*C9),"")</f>
        <v>2379.9322757325353</v>
      </c>
      <c r="F38" s="51">
        <f>IF(18&lt;=C10,C38+E38+D38,"")</f>
        <v>36378.964786197321</v>
      </c>
    </row>
    <row r="39" spans="2:6" x14ac:dyDescent="0.25">
      <c r="B39" s="50">
        <f>IF(19&lt;=C10,19,"")</f>
        <v>19</v>
      </c>
      <c r="C39" s="51">
        <f>IF(19&lt;=C10,F38,"")</f>
        <v>36378.964786197321</v>
      </c>
      <c r="D39" s="51">
        <f>IF(19&lt;=C10,C7,"")</f>
        <v>1000</v>
      </c>
      <c r="E39" s="52">
        <f>IF(19&lt;=C10,IF(C11="Beginning",(C39+D39)*C9,C39*C9),"")</f>
        <v>2616.5275350338129</v>
      </c>
      <c r="F39" s="51">
        <f>IF(19&lt;=C10,C39+E39+D39,"")</f>
        <v>39995.492321231133</v>
      </c>
    </row>
    <row r="40" spans="2:6" x14ac:dyDescent="0.25">
      <c r="B40" s="50">
        <f>IF(20&lt;=C10,20,"")</f>
        <v>20</v>
      </c>
      <c r="C40" s="51">
        <f>IF(20&lt;=C10,F39,"")</f>
        <v>39995.492321231133</v>
      </c>
      <c r="D40" s="51">
        <f>IF(20&lt;=C10,C7,"")</f>
        <v>1000</v>
      </c>
      <c r="E40" s="52">
        <f>IF(20&lt;=C10,IF(C11="Beginning",(C40+D40)*C9,C40*C9),"")</f>
        <v>2869.6844624861797</v>
      </c>
      <c r="F40" s="51">
        <f>IF(20&lt;=C10,C40+E40+D40,"")</f>
        <v>43865.17678371731</v>
      </c>
    </row>
    <row r="41" spans="2:6" x14ac:dyDescent="0.25">
      <c r="B41" s="50">
        <f>IF(21&lt;=C10,21,"")</f>
        <v>21</v>
      </c>
      <c r="C41" s="51">
        <f>IF(21&lt;=C10,F40,"")</f>
        <v>43865.17678371731</v>
      </c>
      <c r="D41" s="51">
        <f>IF(21&lt;=C10,C7,"")</f>
        <v>1000</v>
      </c>
      <c r="E41" s="52">
        <f>IF(21&lt;=C10,IF(C11="Beginning",(C41+D41)*C9,C41*C9),"")</f>
        <v>3140.562374860212</v>
      </c>
      <c r="F41" s="51">
        <f>IF(21&lt;=C10,C41+E41+D41,"")</f>
        <v>48005.739158577519</v>
      </c>
    </row>
    <row r="42" spans="2:6" x14ac:dyDescent="0.25">
      <c r="B42" s="50">
        <f>IF(22&lt;=C10,22,"")</f>
        <v>22</v>
      </c>
      <c r="C42" s="51">
        <f>IF(22&lt;=C10,F41,"")</f>
        <v>48005.739158577519</v>
      </c>
      <c r="D42" s="51">
        <f>IF(22&lt;=C10,C7,"")</f>
        <v>1000</v>
      </c>
      <c r="E42" s="52">
        <f>IF(22&lt;=C10,IF(C11="Beginning",(C42+D42)*C9,C42*C9),"")</f>
        <v>3430.4017411004265</v>
      </c>
      <c r="F42" s="51">
        <f>IF(22&lt;=C10,C42+E42+D42,"")</f>
        <v>52436.140899677943</v>
      </c>
    </row>
    <row r="43" spans="2:6" x14ac:dyDescent="0.25">
      <c r="B43" s="50">
        <f>IF(23&lt;=C10,23,"")</f>
        <v>23</v>
      </c>
      <c r="C43" s="51">
        <f>IF(23&lt;=C10,F42,"")</f>
        <v>52436.140899677943</v>
      </c>
      <c r="D43" s="51">
        <f>IF(23&lt;=C10,C7,"")</f>
        <v>1000</v>
      </c>
      <c r="E43" s="52">
        <f>IF(23&lt;=C10,IF(C11="Beginning",(C43+D43)*C9,C43*C9),"")</f>
        <v>3740.5298629774566</v>
      </c>
      <c r="F43" s="51">
        <f>IF(23&lt;=C10,C43+E43+D43,"")</f>
        <v>57176.670762655398</v>
      </c>
    </row>
    <row r="44" spans="2:6" x14ac:dyDescent="0.25">
      <c r="B44" s="50">
        <f>IF(24&lt;=C10,24,"")</f>
        <v>24</v>
      </c>
      <c r="C44" s="51">
        <f>IF(24&lt;=C10,F43,"")</f>
        <v>57176.670762655398</v>
      </c>
      <c r="D44" s="51">
        <f>IF(24&lt;=C10,C7,"")</f>
        <v>1000</v>
      </c>
      <c r="E44" s="52">
        <f>IF(24&lt;=C10,IF(C11="Beginning",(C44+D44)*C9,C44*C9),"")</f>
        <v>4072.3669533858783</v>
      </c>
      <c r="F44" s="51">
        <f>IF(24&lt;=C10,C44+E44+D44,"")</f>
        <v>62249.037716041275</v>
      </c>
    </row>
    <row r="45" spans="2:6" x14ac:dyDescent="0.25">
      <c r="B45" s="50">
        <f>IF(25&lt;=C10,25,"")</f>
        <v>25</v>
      </c>
      <c r="C45" s="51">
        <f>IF(25&lt;=C10,F44,"")</f>
        <v>62249.037716041275</v>
      </c>
      <c r="D45" s="51">
        <f>IF(25&lt;=C10,C7,"")</f>
        <v>1000</v>
      </c>
      <c r="E45" s="52">
        <f>IF(25&lt;=C10,IF(C11="Beginning",(C45+D45)*C9,C45*C9),"")</f>
        <v>4427.43264012289</v>
      </c>
      <c r="F45" s="51">
        <f>IF(25&lt;=C10,C45+E45+D45,"")</f>
        <v>67676.470356164165</v>
      </c>
    </row>
    <row r="46" spans="2:6" x14ac:dyDescent="0.25">
      <c r="B46" s="50">
        <f>IF(26&lt;=C10,26,"")</f>
        <v>26</v>
      </c>
      <c r="C46" s="51">
        <f>IF(26&lt;=C10,F45,"")</f>
        <v>67676.470356164165</v>
      </c>
      <c r="D46" s="51">
        <f>IF(26&lt;=C10,C7,"")</f>
        <v>1000</v>
      </c>
      <c r="E46" s="52">
        <f>IF(26&lt;=C10,IF(C11="Beginning",(C46+D46)*C9,C46*C9),"")</f>
        <v>4807.3529249314925</v>
      </c>
      <c r="F46" s="51">
        <f>IF(26&lt;=C10,C46+E46+D46,"")</f>
        <v>73483.823281095654</v>
      </c>
    </row>
    <row r="47" spans="2:6" x14ac:dyDescent="0.25">
      <c r="B47" s="50">
        <f>IF(27&lt;=C10,27,"")</f>
        <v>27</v>
      </c>
      <c r="C47" s="51">
        <f>IF(27&lt;=C10,F46,"")</f>
        <v>73483.823281095654</v>
      </c>
      <c r="D47" s="51">
        <f>IF(27&lt;=C10,C7,"")</f>
        <v>1000</v>
      </c>
      <c r="E47" s="52">
        <f>IF(27&lt;=C10,IF(C11="Beginning",(C47+D47)*C9,C47*C9),"")</f>
        <v>5213.8676296766962</v>
      </c>
      <c r="F47" s="51">
        <f>IF(27&lt;=C10,C47+E47+D47,"")</f>
        <v>79697.690910772348</v>
      </c>
    </row>
    <row r="48" spans="2:6" x14ac:dyDescent="0.25">
      <c r="B48" s="50">
        <f>IF(28&lt;=C10,28,"")</f>
        <v>28</v>
      </c>
      <c r="C48" s="51">
        <f>IF(28&lt;=C10,F47,"")</f>
        <v>79697.690910772348</v>
      </c>
      <c r="D48" s="51">
        <f>IF(28&lt;=C10,C7,"")</f>
        <v>1000</v>
      </c>
      <c r="E48" s="52">
        <f>IF(28&lt;=C10,IF(C11="Beginning",(C48+D48)*C9,C48*C9),"")</f>
        <v>5648.8383637540646</v>
      </c>
      <c r="F48" s="51">
        <f>IF(28&lt;=C10,C48+E48+D48,"")</f>
        <v>86346.529274526416</v>
      </c>
    </row>
    <row r="49" spans="2:6" x14ac:dyDescent="0.25">
      <c r="B49" s="50">
        <f>IF(29&lt;=C10,29,"")</f>
        <v>29</v>
      </c>
      <c r="C49" s="51">
        <f>IF(29&lt;=C10,F48,"")</f>
        <v>86346.529274526416</v>
      </c>
      <c r="D49" s="51">
        <f>IF(29&lt;=C10,C7,"")</f>
        <v>1000</v>
      </c>
      <c r="E49" s="52">
        <f>IF(29&lt;=C10,IF(C11="Beginning",(C49+D49)*C9,C49*C9),"")</f>
        <v>6114.2570492168497</v>
      </c>
      <c r="F49" s="51">
        <f>IF(29&lt;=C10,C49+E49+D49,"")</f>
        <v>93460.786323743261</v>
      </c>
    </row>
    <row r="50" spans="2:6" x14ac:dyDescent="0.25">
      <c r="B50" s="50">
        <f>IF(30&lt;=C10,30,"")</f>
        <v>30</v>
      </c>
      <c r="C50" s="51">
        <f>IF(30&lt;=C10,F49,"")</f>
        <v>93460.786323743261</v>
      </c>
      <c r="D50" s="51">
        <f>IF(30&lt;=C10,C7,"")</f>
        <v>1000</v>
      </c>
      <c r="E50" s="52">
        <f>IF(30&lt;=C10,IF(C11="Beginning",(C50+D50)*C9,C50*C9),"")</f>
        <v>6612.2550426620292</v>
      </c>
      <c r="F50" s="51">
        <f>IF(30&lt;=C10,C50+E50+D50,"")</f>
        <v>101073.04136640529</v>
      </c>
    </row>
    <row r="51" spans="2:6" x14ac:dyDescent="0.25">
      <c r="B51" s="50" t="str">
        <f>IF(31&lt;=C10,31,"")</f>
        <v/>
      </c>
      <c r="C51" s="51" t="str">
        <f>IF(31&lt;=C10,F50,"")</f>
        <v/>
      </c>
      <c r="D51" s="51" t="str">
        <f>IF(31&lt;=C10,C7,"")</f>
        <v/>
      </c>
      <c r="E51" s="52" t="str">
        <f>IF(31&lt;=C10,IF(C11="Beginning",(C51+D51)*C9,C51*C9),"")</f>
        <v/>
      </c>
      <c r="F51" s="51" t="str">
        <f>IF(31&lt;=C10,C51+E51+D51,"")</f>
        <v/>
      </c>
    </row>
    <row r="52" spans="2:6" x14ac:dyDescent="0.25">
      <c r="B52" s="50" t="str">
        <f>IF(32&lt;=C10,32,"")</f>
        <v/>
      </c>
      <c r="C52" s="51" t="str">
        <f>IF(32&lt;=C10,F51,"")</f>
        <v/>
      </c>
      <c r="D52" s="51" t="str">
        <f>IF(32&lt;=C10,C7,"")</f>
        <v/>
      </c>
      <c r="E52" s="52" t="str">
        <f>IF(32&lt;=C10,IF(C11="Beginning",(C52+D52)*C9,C52*C9),"")</f>
        <v/>
      </c>
      <c r="F52" s="51" t="str">
        <f>IF(32&lt;=C10,C52+E52+D52,"")</f>
        <v/>
      </c>
    </row>
    <row r="53" spans="2:6" x14ac:dyDescent="0.25">
      <c r="B53" s="50" t="str">
        <f>IF(33&lt;=C10,33,"")</f>
        <v/>
      </c>
      <c r="C53" s="51" t="str">
        <f>IF(33&lt;=C10,F52,"")</f>
        <v/>
      </c>
      <c r="D53" s="51" t="str">
        <f>IF(33&lt;=C10,C7,"")</f>
        <v/>
      </c>
      <c r="E53" s="52" t="str">
        <f>IF(33&lt;=C10,IF(C11="Beginning",(C53+D53)*C9,C53*C9),"")</f>
        <v/>
      </c>
      <c r="F53" s="51" t="str">
        <f>IF(33&lt;=C10,C53+E53+D53,"")</f>
        <v/>
      </c>
    </row>
    <row r="54" spans="2:6" x14ac:dyDescent="0.25">
      <c r="B54" s="50" t="str">
        <f>IF(34&lt;=C10,34,"")</f>
        <v/>
      </c>
      <c r="C54" s="51" t="str">
        <f>IF(34&lt;=C10,F53,"")</f>
        <v/>
      </c>
      <c r="D54" s="51" t="str">
        <f>IF(34&lt;=C10,C7,"")</f>
        <v/>
      </c>
      <c r="E54" s="52" t="str">
        <f>IF(34&lt;=C10,IF(C11="Beginning",(C54+D54)*C9,C54*C9),"")</f>
        <v/>
      </c>
      <c r="F54" s="51" t="str">
        <f>IF(34&lt;=C10,C54+E54+D54,"")</f>
        <v/>
      </c>
    </row>
    <row r="55" spans="2:6" x14ac:dyDescent="0.25">
      <c r="B55" s="50" t="str">
        <f>IF(35&lt;=C10,35,"")</f>
        <v/>
      </c>
      <c r="C55" s="51" t="str">
        <f>IF(35&lt;=C10,F54,"")</f>
        <v/>
      </c>
      <c r="D55" s="51" t="str">
        <f>IF(35&lt;=C10,C7,"")</f>
        <v/>
      </c>
      <c r="E55" s="52" t="str">
        <f>IF(35&lt;=C10,IF(C11="Beginning",(C55+D55)*C9,C55*C9),"")</f>
        <v/>
      </c>
      <c r="F55" s="51" t="str">
        <f>IF(35&lt;=C10,C55+E55+D55,"")</f>
        <v/>
      </c>
    </row>
    <row r="56" spans="2:6" x14ac:dyDescent="0.25">
      <c r="B56" s="50" t="str">
        <f>IF(36&lt;=C10,36,"")</f>
        <v/>
      </c>
      <c r="C56" s="51" t="str">
        <f>IF(36&lt;=C10,F55,"")</f>
        <v/>
      </c>
      <c r="D56" s="51" t="str">
        <f>IF(36&lt;=C10,C7,"")</f>
        <v/>
      </c>
      <c r="E56" s="52" t="str">
        <f>IF(36&lt;=C10,IF(C11="Beginning",(C56+D56)*C9,C56*C9),"")</f>
        <v/>
      </c>
      <c r="F56" s="51" t="str">
        <f>IF(36&lt;=C10,C56+E56+D56,"")</f>
        <v/>
      </c>
    </row>
    <row r="57" spans="2:6" x14ac:dyDescent="0.25">
      <c r="B57" s="50" t="str">
        <f>IF(37&lt;=C10,37,"")</f>
        <v/>
      </c>
      <c r="C57" s="51" t="str">
        <f>IF(37&lt;=C10,F56,"")</f>
        <v/>
      </c>
      <c r="D57" s="51" t="str">
        <f>IF(37&lt;=C10,C7,"")</f>
        <v/>
      </c>
      <c r="E57" s="52" t="str">
        <f>IF(37&lt;=C10,IF(C11="Beginning",(C57+D57)*C9,C57*C9),"")</f>
        <v/>
      </c>
      <c r="F57" s="51" t="str">
        <f>IF(37&lt;=C10,C57+E57+D57,"")</f>
        <v/>
      </c>
    </row>
    <row r="58" spans="2:6" x14ac:dyDescent="0.25">
      <c r="B58" s="50" t="str">
        <f>IF(38&lt;=C10,38,"")</f>
        <v/>
      </c>
      <c r="C58" s="51" t="str">
        <f>IF(38&lt;=C10,F57,"")</f>
        <v/>
      </c>
      <c r="D58" s="51" t="str">
        <f>IF(38&lt;=C10,C7,"")</f>
        <v/>
      </c>
      <c r="E58" s="52" t="str">
        <f>IF(38&lt;=C10,IF(C11="Beginning",(C58+D58)*C9,C58*C9),"")</f>
        <v/>
      </c>
      <c r="F58" s="51" t="str">
        <f>IF(38&lt;=C10,C58+E58+D58,"")</f>
        <v/>
      </c>
    </row>
    <row r="59" spans="2:6" x14ac:dyDescent="0.25">
      <c r="B59" s="50" t="str">
        <f>IF(39&lt;=C10,39,"")</f>
        <v/>
      </c>
      <c r="C59" s="51" t="str">
        <f>IF(39&lt;=C10,F58,"")</f>
        <v/>
      </c>
      <c r="D59" s="51" t="str">
        <f>IF(39&lt;=C10,C7,"")</f>
        <v/>
      </c>
      <c r="E59" s="52" t="str">
        <f>IF(39&lt;=C10,IF(C11="Beginning",(C59+D59)*C9,C59*C9),"")</f>
        <v/>
      </c>
      <c r="F59" s="51" t="str">
        <f>IF(39&lt;=C10,C59+E59+D59,"")</f>
        <v/>
      </c>
    </row>
    <row r="60" spans="2:6" x14ac:dyDescent="0.25">
      <c r="B60" s="50" t="str">
        <f>IF(40&lt;=C10,40,"")</f>
        <v/>
      </c>
      <c r="C60" s="51" t="str">
        <f>IF(40&lt;=C10,F59,"")</f>
        <v/>
      </c>
      <c r="D60" s="51" t="str">
        <f>IF(40&lt;=C10,C7,"")</f>
        <v/>
      </c>
      <c r="E60" s="52" t="str">
        <f>IF(40&lt;=C10,IF(C11="Beginning",(C60+D60)*C9,C60*C9),"")</f>
        <v/>
      </c>
      <c r="F60" s="53" t="str">
        <f>IF(40&lt;=C10,C60+E60+D60,"")</f>
        <v/>
      </c>
    </row>
    <row r="62" spans="2:6" ht="15" customHeight="1" x14ac:dyDescent="0.25">
      <c r="B62" s="107" t="s">
        <v>164</v>
      </c>
      <c r="C62" s="107"/>
      <c r="D62" s="107"/>
      <c r="E62" s="107"/>
      <c r="F62" s="107"/>
    </row>
    <row r="63" spans="2:6" x14ac:dyDescent="0.25">
      <c r="B63" s="107"/>
      <c r="C63" s="107"/>
      <c r="D63" s="107"/>
      <c r="E63" s="107"/>
      <c r="F63" s="107"/>
    </row>
    <row r="64" spans="2:6" x14ac:dyDescent="0.25">
      <c r="B64" s="107"/>
      <c r="C64" s="107"/>
      <c r="D64" s="107"/>
      <c r="E64" s="107"/>
      <c r="F64" s="107"/>
    </row>
  </sheetData>
  <mergeCells count="4">
    <mergeCell ref="B2:H2"/>
    <mergeCell ref="B3:H3"/>
    <mergeCell ref="B62:F64"/>
    <mergeCell ref="B4:H4"/>
  </mergeCells>
  <dataValidations count="2">
    <dataValidation type="whole" errorTitle="Years" error="Enter 1–40." sqref="C10" xr:uid="{00000000-0002-0000-0200-000000000000}">
      <formula1>1</formula1>
      <formula2>40</formula2>
    </dataValidation>
    <dataValidation type="list" sqref="C11" xr:uid="{00000000-0002-0000-0200-000001000000}">
      <formula1>"Beginning,End"</formula1>
      <formula2>0</formula2>
    </dataValidation>
  </dataValidations>
  <pageMargins left="0.75" right="0.75" top="1" bottom="1" header="0.511811023622047" footer="0.511811023622047"/>
  <pageSetup paperSize="9" orientation="portrait" horizontalDpi="300" verticalDpi="300"/>
  <headerFooter>
    <oddHeader>&amp;C&amp;"Aptos"&amp;10&amp;K000000 Internal&amp;1#_x000D_</oddHeader>
    <oddFooter>&amp;C_x000D_&amp;1#&amp;"Aptos"&amp;10&amp;K000000 Internal</oddFooter>
  </headerFooter>
</worksheet>
</file>

<file path=docMetadata/LabelInfo.xml><?xml version="1.0" encoding="utf-8"?>
<clbl:labelList xmlns:clbl="http://schemas.microsoft.com/office/2020/mipLabelMetadata">
  <clbl:label id="{2f0a6b22-acf9-4df6-a70d-0ecd4557098a}" enabled="1" method="Standard" siteId="{25a73f23-ee9f-475b-80b1-8f3b3b232c5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HSA Calculator</vt:lpstr>
      <vt:lpstr>Plan Data</vt:lpstr>
      <vt:lpstr>HSA Investment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 Beckius</dc:creator>
  <cp:keywords/>
  <dc:description/>
  <cp:lastModifiedBy>Katie Odegaard</cp:lastModifiedBy>
  <cp:revision>1</cp:revision>
  <dcterms:created xsi:type="dcterms:W3CDTF">2026-08-17T16:43:54Z</dcterms:created>
  <dcterms:modified xsi:type="dcterms:W3CDTF">2026-08-19T13:27:55Z</dcterms:modified>
  <cp:category/>
  <cp:contentStatus/>
</cp:coreProperties>
</file>